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el-\Desktop\مشاريع أكسل\م3 519293\مقال 3\‏‏الصور - نسخة علا\"/>
    </mc:Choice>
  </mc:AlternateContent>
  <xr:revisionPtr revIDLastSave="0" documentId="13_ncr:1_{3BA22A82-21D3-4D6A-8749-113AA98947A3}" xr6:coauthVersionLast="47" xr6:coauthVersionMax="47" xr10:uidLastSave="{00000000-0000-0000-0000-000000000000}"/>
  <bookViews>
    <workbookView xWindow="-120" yWindow="-120" windowWidth="20730" windowHeight="11160" tabRatio="602" xr2:uid="{EE58A477-46B3-45F7-9002-65AAF6690CBC}"/>
  </bookViews>
  <sheets>
    <sheet name="ملخص الملف الإستثماري" sheetId="1" r:id="rId1"/>
    <sheet name="تفاصيل المحفظة الاستثمارية" sheetId="2" r:id="rId2"/>
    <sheet name="قائمة الاستثمارات" sheetId="3" r:id="rId3"/>
    <sheet name="المقارنة المعيارية" sheetId="4" r:id="rId4"/>
    <sheet name="الزيادة السنوية" sheetId="5" r:id="rId5"/>
    <sheet name="بيانات الأسعار" sheetId="11" r:id="rId6"/>
  </sheets>
  <definedNames>
    <definedName name="ExternalData_4" localSheetId="5" hidden="1">'بيانات الأسعار'!$A$1:$B$15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4" i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4" i="2"/>
  <c r="E12" i="1"/>
  <c r="F12" i="1" s="1"/>
  <c r="E13" i="1"/>
  <c r="F13" i="1" s="1"/>
  <c r="E14" i="1"/>
  <c r="F14" i="1" s="1"/>
  <c r="E11" i="1"/>
  <c r="F11" i="1" s="1"/>
  <c r="D12" i="1"/>
  <c r="D13" i="1"/>
  <c r="D14" i="1"/>
  <c r="D11" i="1"/>
  <c r="D15" i="1" s="1"/>
  <c r="C15" i="1"/>
  <c r="C12" i="1"/>
  <c r="C13" i="1"/>
  <c r="C14" i="1"/>
  <c r="C11" i="1"/>
  <c r="B12" i="1"/>
  <c r="B13" i="1"/>
  <c r="B14" i="1"/>
  <c r="B11" i="1"/>
  <c r="B15" i="1" s="1"/>
  <c r="E5" i="1"/>
  <c r="F5" i="1" s="1"/>
  <c r="E6" i="1"/>
  <c r="F6" i="1" s="1"/>
  <c r="E7" i="1"/>
  <c r="F7" i="1" s="1"/>
  <c r="E4" i="1"/>
  <c r="F4" i="1" s="1"/>
  <c r="D5" i="1"/>
  <c r="D6" i="1"/>
  <c r="D7" i="1"/>
  <c r="D4" i="1"/>
  <c r="D8" i="1" s="1"/>
  <c r="C5" i="1"/>
  <c r="C6" i="1"/>
  <c r="C7" i="1"/>
  <c r="C4" i="1"/>
  <c r="B4" i="1"/>
  <c r="B5" i="1"/>
  <c r="B6" i="1"/>
  <c r="B7" i="1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4" i="2"/>
  <c r="V4" i="2"/>
  <c r="V7" i="2"/>
  <c r="V19" i="2"/>
  <c r="V5" i="2"/>
  <c r="V6" i="2"/>
  <c r="V8" i="2"/>
  <c r="V9" i="2"/>
  <c r="V10" i="2"/>
  <c r="V11" i="2"/>
  <c r="V12" i="2"/>
  <c r="V13" i="2"/>
  <c r="V14" i="2"/>
  <c r="V15" i="2"/>
  <c r="V16" i="2"/>
  <c r="V17" i="2"/>
  <c r="V18" i="2"/>
  <c r="S19" i="2"/>
  <c r="L4" i="2"/>
  <c r="J4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Q19" i="2"/>
  <c r="K8" i="2"/>
  <c r="K9" i="2"/>
  <c r="K10" i="2"/>
  <c r="K19" i="2" s="1"/>
  <c r="L6" i="2" s="1"/>
  <c r="N6" i="2" s="1"/>
  <c r="K11" i="2"/>
  <c r="K12" i="2"/>
  <c r="K13" i="2"/>
  <c r="K14" i="2"/>
  <c r="K15" i="2"/>
  <c r="K16" i="2"/>
  <c r="K17" i="2"/>
  <c r="K18" i="2"/>
  <c r="J5" i="2"/>
  <c r="G19" i="2"/>
  <c r="E19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4" i="2"/>
  <c r="E15" i="1" l="1"/>
  <c r="F15" i="1" s="1"/>
  <c r="E8" i="1"/>
  <c r="F8" i="1" s="1"/>
  <c r="B8" i="1"/>
  <c r="L9" i="2"/>
  <c r="N9" i="2" s="1"/>
  <c r="L17" i="2"/>
  <c r="N17" i="2" s="1"/>
  <c r="L13" i="2"/>
  <c r="N13" i="2" s="1"/>
  <c r="L16" i="2"/>
  <c r="N16" i="2" s="1"/>
  <c r="L12" i="2"/>
  <c r="N12" i="2" s="1"/>
  <c r="L8" i="2"/>
  <c r="N8" i="2" s="1"/>
  <c r="L5" i="2"/>
  <c r="N5" i="2" s="1"/>
  <c r="N4" i="2"/>
  <c r="L15" i="2"/>
  <c r="N15" i="2" s="1"/>
  <c r="L11" i="2"/>
  <c r="N11" i="2" s="1"/>
  <c r="L7" i="2"/>
  <c r="N7" i="2" s="1"/>
  <c r="L18" i="2"/>
  <c r="N18" i="2" s="1"/>
  <c r="L14" i="2"/>
  <c r="N14" i="2" s="1"/>
  <c r="L10" i="2"/>
  <c r="N10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3570FC-770C-4618-ADFC-4805FF71783B}" keepAlive="1" name="استعلام - ‏‏Table 0" description="‏‏الاتصال بالاستعلام 'Table 0' في المصنف." type="5" refreshedVersion="8" background="1" saveData="1">
    <dbPr connection="Provider=Microsoft.Mashup.OleDb.1;Data Source=$Workbook$;Location=&quot;Table 0&quot;;Extended Properties=&quot;&quot;" command="SELECT * FROM [Table 0]"/>
  </connection>
  <connection id="2" xr16:uid="{16216FCD-BE91-4A49-B1F4-60C286C755F7}" keepAlive="1" interval="5" name="استعلام - ‏‏بيانات الأسعار" description="‏‏الاتصال بالاستعلام 'بيانات الأسعار' في المصنف." type="5" refreshedVersion="8" background="1" refreshOnLoad="1" saveData="1">
    <dbPr connection="Provider=Microsoft.Mashup.OleDb.1;Data Source=$Workbook$;Location=&quot;بيانات الأسعار&quot;;Extended Properties=&quot;&quot;" command="SELECT * FROM [بيانات الأسعار]"/>
  </connection>
</connections>
</file>

<file path=xl/sharedStrings.xml><?xml version="1.0" encoding="utf-8"?>
<sst xmlns="http://schemas.openxmlformats.org/spreadsheetml/2006/main" count="200" uniqueCount="133">
  <si>
    <t>ملخص الملف الإستثماري الشخصي</t>
  </si>
  <si>
    <t>إجمالي الملخص</t>
  </si>
  <si>
    <t>إجمالي تكلفة الشراء</t>
  </si>
  <si>
    <t>القيمة الحالية</t>
  </si>
  <si>
    <t>الزيادة السنوية</t>
  </si>
  <si>
    <t>صندوق السندات</t>
  </si>
  <si>
    <t>صندوق الأسهم المحلية</t>
  </si>
  <si>
    <t>صندوق الأسهم الدولية</t>
  </si>
  <si>
    <t>الأسهم الفردية</t>
  </si>
  <si>
    <t>الإجمالي</t>
  </si>
  <si>
    <t>المقاربة المعيارية للنمو في خمس سنوات</t>
  </si>
  <si>
    <t>المقارنة المعيارية</t>
  </si>
  <si>
    <t>الاستثمارات ذات الأداء الضعيف</t>
  </si>
  <si>
    <t>عدد الاستثمارات</t>
  </si>
  <si>
    <t>متوسط أشهر الاستثمارات</t>
  </si>
  <si>
    <r>
      <rPr>
        <sz val="12"/>
        <color theme="1"/>
        <rFont val="Noto Sans Arabic Full"/>
        <family val="3"/>
      </rPr>
      <t>أسهم بنك باركليز</t>
    </r>
    <r>
      <rPr>
        <sz val="12"/>
        <color theme="1"/>
        <rFont val="Noto Sans"/>
        <charset val="162"/>
      </rPr>
      <t xml:space="preserve"> Barclays</t>
    </r>
  </si>
  <si>
    <r>
      <rPr>
        <sz val="12"/>
        <color theme="1"/>
        <rFont val="Noto Sans Arabic Full"/>
        <family val="3"/>
      </rPr>
      <t>مؤشر ستاندرد آند بورز</t>
    </r>
    <r>
      <rPr>
        <sz val="12"/>
        <color theme="1"/>
        <rFont val="Noto Sans"/>
        <charset val="162"/>
      </rPr>
      <t xml:space="preserve"> S$P 500</t>
    </r>
  </si>
  <si>
    <r>
      <rPr>
        <sz val="12"/>
        <color theme="1"/>
        <rFont val="Noto Sans Arabic Full"/>
        <family val="3"/>
      </rPr>
      <t>أسهم</t>
    </r>
    <r>
      <rPr>
        <sz val="12"/>
        <color theme="1"/>
        <rFont val="Noto Sans"/>
        <charset val="162"/>
      </rPr>
      <t xml:space="preserve"> MSCI EAFE</t>
    </r>
  </si>
  <si>
    <r>
      <rPr>
        <sz val="12"/>
        <color theme="1"/>
        <rFont val="Noto Sans Arabic Full"/>
        <family val="3"/>
      </rPr>
      <t>مؤشر داو جونز الصناعي</t>
    </r>
    <r>
      <rPr>
        <sz val="12"/>
        <color theme="1"/>
        <rFont val="Noto Sans"/>
        <charset val="162"/>
      </rPr>
      <t xml:space="preserve"> Dow Jones</t>
    </r>
  </si>
  <si>
    <t>ملف الاستثمار الشخصي</t>
  </si>
  <si>
    <t>عملية الشراء</t>
  </si>
  <si>
    <t>المعلومات الوصفية</t>
  </si>
  <si>
    <t>نوع الاستثمار</t>
  </si>
  <si>
    <t>الرمز</t>
  </si>
  <si>
    <t>الوصف</t>
  </si>
  <si>
    <t>الأرباح/العوائد</t>
  </si>
  <si>
    <t>الأسهم المشتراة</t>
  </si>
  <si>
    <t>تكلفة الشراء</t>
  </si>
  <si>
    <t>السعر الحالي</t>
  </si>
  <si>
    <t>قيمة الشراء الحالية</t>
  </si>
  <si>
    <t>شعر الشراء للسهم الواحد</t>
  </si>
  <si>
    <t>VFICX</t>
  </si>
  <si>
    <t>VFSTX</t>
  </si>
  <si>
    <t>VWEHX</t>
  </si>
  <si>
    <t>VUSTX</t>
  </si>
  <si>
    <t>VDMIX</t>
  </si>
  <si>
    <t>VEIPX</t>
  </si>
  <si>
    <t>VISGX</t>
  </si>
  <si>
    <t>VIMSX</t>
  </si>
  <si>
    <t>VTRIX</t>
  </si>
  <si>
    <t>VEIEX</t>
  </si>
  <si>
    <t>TV</t>
  </si>
  <si>
    <t>JNJ</t>
  </si>
  <si>
    <t>KO</t>
  </si>
  <si>
    <t>MSFT</t>
  </si>
  <si>
    <t>IBM</t>
  </si>
  <si>
    <t>دفعات الأرباح  المقدرة</t>
  </si>
  <si>
    <t>قيمة الاستثمار الحالية</t>
  </si>
  <si>
    <t>النسبة المئوية الحالية للملف الاستثماري</t>
  </si>
  <si>
    <t>النسبة المئوية المستهدفة للملف الاستثماري</t>
  </si>
  <si>
    <t>النسبة المئوية للملف الاستثماري</t>
  </si>
  <si>
    <t>القيمة الحالية مقابل القيمة المستهدفة</t>
  </si>
  <si>
    <t>مؤشر التوازن</t>
  </si>
  <si>
    <t>مؤشر البيع أو الشراء</t>
  </si>
  <si>
    <t>مؤشر طول أو قصر مدة</t>
  </si>
  <si>
    <t>أشهر الاستثمار</t>
  </si>
  <si>
    <t>المكاسب أو الخسائر الغير محققة</t>
  </si>
  <si>
    <t>المعدل الحقيقي للنمو السنوي</t>
  </si>
  <si>
    <t>معدل النمو الحقيقي مقابل المعدل المستهدف</t>
  </si>
  <si>
    <t>مؤشر الأداء</t>
  </si>
  <si>
    <t>النسبة المئوية للربح أو الخسارة</t>
  </si>
  <si>
    <t>معدل النمو السنوي المستهدف</t>
  </si>
  <si>
    <t>قائمة الاستثمارات</t>
  </si>
  <si>
    <t>مستوى الخطورة</t>
  </si>
  <si>
    <t>معدل الزيادة العام الماضي</t>
  </si>
  <si>
    <t>معدل الزيادة في الخمس سنوات القادمة</t>
  </si>
  <si>
    <t>VMMX</t>
  </si>
  <si>
    <t>VFISX</t>
  </si>
  <si>
    <t>VBISX</t>
  </si>
  <si>
    <t>VFINX</t>
  </si>
  <si>
    <t>AAPL</t>
  </si>
  <si>
    <t>GOOG</t>
  </si>
  <si>
    <t>رئيس سوق المال</t>
  </si>
  <si>
    <t>استثمار خزانة طويلة الأمد</t>
  </si>
  <si>
    <t>درجة الاستثمار قصيرة الأمد</t>
  </si>
  <si>
    <t>شركات ذات عائد مرتفع</t>
  </si>
  <si>
    <t>استثمار ذو درجة متوسطة</t>
  </si>
  <si>
    <t>استثمار خزانة قصيرة الأمد</t>
  </si>
  <si>
    <t>مؤشر سندات الاستثمار قصير الأمد</t>
  </si>
  <si>
    <t>إيرادات الأسهم</t>
  </si>
  <si>
    <t>شركة متوسطة الحجم</t>
  </si>
  <si>
    <t>شركة صغيرة الحجم</t>
  </si>
  <si>
    <r>
      <t>مؤشر ستاندرد آند بورز</t>
    </r>
    <r>
      <rPr>
        <sz val="12"/>
        <color theme="1"/>
        <rFont val="Noto Sans"/>
        <family val="2"/>
      </rPr>
      <t xml:space="preserve"> S&amp;P</t>
    </r>
  </si>
  <si>
    <t>الأسواق الناشئة</t>
  </si>
  <si>
    <t>الأسواق المتطورة</t>
  </si>
  <si>
    <t>قيمة عالمية</t>
  </si>
  <si>
    <t>شركة مايكروسوفت</t>
  </si>
  <si>
    <r>
      <t xml:space="preserve">شركة آبل </t>
    </r>
    <r>
      <rPr>
        <sz val="12"/>
        <color theme="1"/>
        <rFont val="Noto Sans"/>
        <family val="2"/>
      </rPr>
      <t>APPLE</t>
    </r>
  </si>
  <si>
    <t>ماكينات الأعمال الدولية</t>
  </si>
  <si>
    <t>شركة جوجل</t>
  </si>
  <si>
    <t>شركة جونسون آند جونسون</t>
  </si>
  <si>
    <t>شركة كوكاكولا</t>
  </si>
  <si>
    <t>شركة تريفالي للتعدين</t>
  </si>
  <si>
    <t>الأسواق المالية</t>
  </si>
  <si>
    <t>المقارنة المعيارية المالية</t>
  </si>
  <si>
    <t>مؤشر ستاندرد آند بورز S$P 500</t>
  </si>
  <si>
    <t>أسهم بنك باركليز Barclays</t>
  </si>
  <si>
    <t>أسهم MSCI EAFE</t>
  </si>
  <si>
    <t>مؤشر داو جونز الصناعي Dow Jones</t>
  </si>
  <si>
    <t>الزيادة في عام واحد</t>
  </si>
  <si>
    <t>الزيادة في ثلاثة أعوام</t>
  </si>
  <si>
    <t>الزيادة في خمسة أعوام</t>
  </si>
  <si>
    <t>الزيادة في عشرة أعوام</t>
  </si>
  <si>
    <t>Column1</t>
  </si>
  <si>
    <t>Column2</t>
  </si>
  <si>
    <t>1y target est</t>
  </si>
  <si>
    <t>369.39</t>
  </si>
  <si>
    <t>Beta (5Y monthly)</t>
  </si>
  <si>
    <t>0.88</t>
  </si>
  <si>
    <t>Earnings date</t>
  </si>
  <si>
    <t>22 Jan 2024 - 26 Jan 2024</t>
  </si>
  <si>
    <t>Ex-dividend date</t>
  </si>
  <si>
    <t>15 Nov 2023</t>
  </si>
  <si>
    <t>Forward dividend &amp; yield</t>
  </si>
  <si>
    <t>3.00 (0.79%)</t>
  </si>
  <si>
    <t>Market cap</t>
  </si>
  <si>
    <t>2.805T</t>
  </si>
  <si>
    <t>52-week range</t>
  </si>
  <si>
    <t>219.35 - 378.87</t>
  </si>
  <si>
    <t>Ask</t>
  </si>
  <si>
    <t>Avg. volume</t>
  </si>
  <si>
    <t>Bid</t>
  </si>
  <si>
    <t>Day's range</t>
  </si>
  <si>
    <t>371.00 - 378.87</t>
  </si>
  <si>
    <t>Open</t>
  </si>
  <si>
    <t>371.22</t>
  </si>
  <si>
    <t>Previous close</t>
  </si>
  <si>
    <t>369.85</t>
  </si>
  <si>
    <t>Volume</t>
  </si>
  <si>
    <t>52,372,488</t>
  </si>
  <si>
    <t>378.32 x 1000</t>
  </si>
  <si>
    <t>378.75 x 1300</t>
  </si>
  <si>
    <t>23,677,078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</si>
</sst>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$-409]#,##0"/>
    <numFmt numFmtId="166" formatCode="0.0%"/>
  </numFmts>
  <fonts count="15">
    <font>
      <sz val="11"/>
      <color theme="1"/>
      <name val="Arial"/>
      <family val="2"/>
      <charset val="162"/>
      <scheme val="minor"/>
    </font>
    <font>
      <b/>
      <sz val="11"/>
      <color theme="1"/>
      <name val="Arial"/>
      <family val="2"/>
      <charset val="162"/>
      <scheme val="minor"/>
    </font>
    <font>
      <sz val="12"/>
      <color theme="1"/>
      <name val="Noto Sans Arabic Full"/>
      <family val="3"/>
    </font>
    <font>
      <sz val="12"/>
      <color theme="1"/>
      <name val="Noto Sans"/>
      <charset val="162"/>
    </font>
    <font>
      <b/>
      <sz val="12"/>
      <color theme="1"/>
      <name val="Noto Sans Arabic Full"/>
      <family val="3"/>
    </font>
    <font>
      <sz val="12"/>
      <name val="Noto Sans Arabic Full"/>
      <family val="3"/>
    </font>
    <font>
      <b/>
      <sz val="12"/>
      <color theme="1"/>
      <name val="Noto Sans Arabic Full"/>
      <family val="3"/>
      <charset val="162"/>
    </font>
    <font>
      <b/>
      <sz val="12"/>
      <color theme="1"/>
      <name val="Noto Sans"/>
      <charset val="162"/>
    </font>
    <font>
      <sz val="12"/>
      <color theme="1"/>
      <name val="Noto Sans"/>
      <family val="3"/>
      <charset val="162"/>
    </font>
    <font>
      <b/>
      <sz val="16"/>
      <color theme="1"/>
      <name val="Noto Sans"/>
      <charset val="162"/>
    </font>
    <font>
      <sz val="11"/>
      <color theme="1"/>
      <name val="Noto Sans Arabic Full"/>
      <family val="3"/>
    </font>
    <font>
      <b/>
      <sz val="12"/>
      <color theme="1"/>
      <name val="Noto Sans"/>
      <family val="2"/>
    </font>
    <font>
      <sz val="12"/>
      <color theme="1"/>
      <name val="Noto Sans"/>
      <family val="2"/>
    </font>
    <font>
      <b/>
      <sz val="14"/>
      <color theme="1"/>
      <name val="Noto Sans Arabic Full"/>
      <family val="3"/>
    </font>
    <font>
      <b/>
      <sz val="16"/>
      <color theme="1"/>
      <name val="Noto Sans Arabic Full"/>
      <family val="3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/>
    <xf numFmtId="165" fontId="5" fillId="0" borderId="1" xfId="0" applyNumberFormat="1" applyFont="1" applyBorder="1" applyAlignment="1">
      <alignment horizontal="center" vertical="center" wrapText="1" shrinkToFit="1"/>
    </xf>
    <xf numFmtId="165" fontId="3" fillId="0" borderId="1" xfId="0" applyNumberFormat="1" applyFont="1" applyBorder="1"/>
    <xf numFmtId="165" fontId="3" fillId="0" borderId="0" xfId="0" applyNumberFormat="1" applyFont="1"/>
    <xf numFmtId="166" fontId="5" fillId="0" borderId="1" xfId="0" applyNumberFormat="1" applyFont="1" applyBorder="1" applyAlignment="1">
      <alignment horizontal="center" vertical="center" wrapText="1" shrinkToFit="1"/>
    </xf>
    <xf numFmtId="166" fontId="3" fillId="0" borderId="1" xfId="0" applyNumberFormat="1" applyFont="1" applyBorder="1"/>
    <xf numFmtId="166" fontId="3" fillId="0" borderId="0" xfId="0" applyNumberFormat="1" applyFont="1"/>
    <xf numFmtId="166" fontId="2" fillId="0" borderId="1" xfId="0" applyNumberFormat="1" applyFont="1" applyBorder="1" applyAlignment="1">
      <alignment horizontal="center" vertical="center" wrapText="1" shrinkToFit="1"/>
    </xf>
    <xf numFmtId="166" fontId="3" fillId="0" borderId="0" xfId="0" applyNumberFormat="1" applyFont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/>
    <xf numFmtId="165" fontId="7" fillId="0" borderId="1" xfId="0" applyNumberFormat="1" applyFont="1" applyBorder="1"/>
    <xf numFmtId="0" fontId="8" fillId="0" borderId="1" xfId="0" applyFont="1" applyBorder="1"/>
    <xf numFmtId="0" fontId="1" fillId="0" borderId="0" xfId="0" applyFont="1"/>
    <xf numFmtId="0" fontId="2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5" xfId="0" applyFont="1" applyBorder="1"/>
    <xf numFmtId="10" fontId="3" fillId="0" borderId="1" xfId="0" applyNumberFormat="1" applyFont="1" applyBorder="1"/>
    <xf numFmtId="10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165" fontId="3" fillId="0" borderId="3" xfId="0" applyNumberFormat="1" applyFont="1" applyBorder="1"/>
    <xf numFmtId="165" fontId="0" fillId="0" borderId="0" xfId="0" applyNumberFormat="1"/>
    <xf numFmtId="164" fontId="3" fillId="0" borderId="10" xfId="0" applyNumberFormat="1" applyFont="1" applyBorder="1"/>
    <xf numFmtId="164" fontId="3" fillId="0" borderId="6" xfId="0" applyNumberFormat="1" applyFont="1" applyBorder="1"/>
    <xf numFmtId="164" fontId="3" fillId="0" borderId="7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9" xfId="0" applyNumberFormat="1" applyFont="1" applyBorder="1"/>
    <xf numFmtId="165" fontId="2" fillId="0" borderId="3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/>
    <xf numFmtId="165" fontId="3" fillId="0" borderId="5" xfId="0" applyNumberFormat="1" applyFont="1" applyBorder="1"/>
    <xf numFmtId="165" fontId="0" fillId="0" borderId="3" xfId="0" applyNumberFormat="1" applyBorder="1"/>
    <xf numFmtId="0" fontId="0" fillId="0" borderId="11" xfId="0" applyBorder="1"/>
    <xf numFmtId="0" fontId="0" fillId="0" borderId="12" xfId="0" applyBorder="1"/>
    <xf numFmtId="0" fontId="10" fillId="0" borderId="3" xfId="0" applyFont="1" applyBorder="1" applyAlignment="1">
      <alignment horizontal="center" vertical="center" wrapText="1"/>
    </xf>
    <xf numFmtId="165" fontId="0" fillId="0" borderId="5" xfId="0" applyNumberFormat="1" applyBorder="1"/>
    <xf numFmtId="165" fontId="0" fillId="0" borderId="4" xfId="0" applyNumberFormat="1" applyBorder="1"/>
    <xf numFmtId="165" fontId="2" fillId="0" borderId="4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Border="1"/>
    <xf numFmtId="165" fontId="10" fillId="0" borderId="1" xfId="0" applyNumberFormat="1" applyFont="1" applyBorder="1" applyAlignment="1">
      <alignment horizontal="center" vertical="center" wrapText="1"/>
    </xf>
    <xf numFmtId="165" fontId="0" fillId="0" borderId="11" xfId="0" applyNumberFormat="1" applyBorder="1"/>
    <xf numFmtId="165" fontId="0" fillId="0" borderId="12" xfId="0" applyNumberFormat="1" applyBorder="1"/>
    <xf numFmtId="165" fontId="0" fillId="0" borderId="1" xfId="0" applyNumberFormat="1" applyBorder="1"/>
    <xf numFmtId="165" fontId="10" fillId="0" borderId="3" xfId="0" applyNumberFormat="1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Border="1"/>
    <xf numFmtId="166" fontId="0" fillId="0" borderId="0" xfId="0" applyNumberFormat="1"/>
    <xf numFmtId="166" fontId="10" fillId="0" borderId="3" xfId="0" applyNumberFormat="1" applyFont="1" applyBorder="1" applyAlignment="1">
      <alignment horizontal="center" vertical="center" wrapText="1"/>
    </xf>
    <xf numFmtId="166" fontId="0" fillId="0" borderId="4" xfId="0" applyNumberFormat="1" applyBorder="1"/>
    <xf numFmtId="166" fontId="0" fillId="0" borderId="3" xfId="0" applyNumberFormat="1" applyBorder="1"/>
    <xf numFmtId="166" fontId="0" fillId="0" borderId="5" xfId="0" applyNumberFormat="1" applyBorder="1"/>
    <xf numFmtId="166" fontId="0" fillId="0" borderId="13" xfId="0" applyNumberFormat="1" applyBorder="1"/>
    <xf numFmtId="165" fontId="0" fillId="0" borderId="13" xfId="0" applyNumberFormat="1" applyBorder="1"/>
    <xf numFmtId="165" fontId="0" fillId="0" borderId="8" xfId="0" applyNumberFormat="1" applyBorder="1"/>
    <xf numFmtId="164" fontId="3" fillId="0" borderId="0" xfId="0" applyNumberFormat="1" applyFont="1"/>
    <xf numFmtId="10" fontId="10" fillId="0" borderId="1" xfId="0" applyNumberFormat="1" applyFont="1" applyBorder="1" applyAlignment="1">
      <alignment horizontal="center" vertical="center" wrapText="1"/>
    </xf>
    <xf numFmtId="10" fontId="0" fillId="0" borderId="3" xfId="0" applyNumberFormat="1" applyBorder="1"/>
    <xf numFmtId="10" fontId="0" fillId="0" borderId="5" xfId="0" applyNumberFormat="1" applyBorder="1"/>
    <xf numFmtId="10" fontId="0" fillId="0" borderId="1" xfId="0" applyNumberFormat="1" applyBorder="1"/>
    <xf numFmtId="10" fontId="0" fillId="0" borderId="10" xfId="0" applyNumberFormat="1" applyBorder="1"/>
    <xf numFmtId="10" fontId="0" fillId="0" borderId="6" xfId="0" applyNumberFormat="1" applyBorder="1"/>
    <xf numFmtId="10" fontId="10" fillId="0" borderId="3" xfId="0" applyNumberFormat="1" applyFont="1" applyBorder="1" applyAlignment="1">
      <alignment horizontal="center" vertical="center" wrapText="1"/>
    </xf>
    <xf numFmtId="10" fontId="0" fillId="0" borderId="4" xfId="0" applyNumberFormat="1" applyBorder="1"/>
    <xf numFmtId="10" fontId="0" fillId="0" borderId="13" xfId="0" applyNumberFormat="1" applyBorder="1"/>
    <xf numFmtId="0" fontId="0" fillId="0" borderId="13" xfId="0" applyBorder="1"/>
    <xf numFmtId="166" fontId="0" fillId="0" borderId="10" xfId="0" applyNumberFormat="1" applyBorder="1"/>
    <xf numFmtId="166" fontId="0" fillId="0" borderId="6" xfId="0" applyNumberFormat="1" applyBorder="1"/>
    <xf numFmtId="166" fontId="0" fillId="0" borderId="7" xfId="0" applyNumberFormat="1" applyBorder="1"/>
    <xf numFmtId="0" fontId="0" fillId="0" borderId="9" xfId="0" applyBorder="1"/>
    <xf numFmtId="1" fontId="5" fillId="0" borderId="1" xfId="0" applyNumberFormat="1" applyFont="1" applyBorder="1" applyAlignment="1">
      <alignment horizontal="center" vertical="center" wrapText="1" shrinkToFit="1"/>
    </xf>
    <xf numFmtId="1" fontId="3" fillId="0" borderId="1" xfId="0" applyNumberFormat="1" applyFont="1" applyBorder="1"/>
    <xf numFmtId="1" fontId="3" fillId="0" borderId="0" xfId="0" applyNumberFormat="1" applyFont="1"/>
    <xf numFmtId="0" fontId="11" fillId="0" borderId="1" xfId="0" applyFont="1" applyBorder="1"/>
    <xf numFmtId="165" fontId="11" fillId="0" borderId="1" xfId="0" applyNumberFormat="1" applyFont="1" applyBorder="1"/>
    <xf numFmtId="1" fontId="11" fillId="0" borderId="1" xfId="0" applyNumberFormat="1" applyFont="1" applyBorder="1"/>
    <xf numFmtId="166" fontId="11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64" fontId="9" fillId="5" borderId="6" xfId="0" applyNumberFormat="1" applyFont="1" applyFill="1" applyBorder="1" applyAlignment="1">
      <alignment horizontal="center" vertical="center"/>
    </xf>
    <xf numFmtId="164" fontId="9" fillId="5" borderId="0" xfId="0" applyNumberFormat="1" applyFont="1" applyFill="1" applyAlignment="1">
      <alignment horizontal="center" vertical="center"/>
    </xf>
    <xf numFmtId="0" fontId="7" fillId="6" borderId="7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13" fillId="8" borderId="2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13" fillId="8" borderId="15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4" fillId="9" borderId="1" xfId="0" applyNumberFormat="1" applyFont="1" applyFill="1" applyBorder="1" applyAlignment="1">
      <alignment horizontal="center" vertical="center" wrapText="1"/>
    </xf>
    <xf numFmtId="10" fontId="12" fillId="0" borderId="1" xfId="0" applyNumberFormat="1" applyFont="1" applyBorder="1"/>
    <xf numFmtId="10" fontId="12" fillId="0" borderId="0" xfId="0" applyNumberFormat="1" applyFont="1"/>
    <xf numFmtId="0" fontId="3" fillId="0" borderId="10" xfId="0" applyFont="1" applyBorder="1"/>
    <xf numFmtId="0" fontId="3" fillId="0" borderId="6" xfId="0" applyFont="1" applyBorder="1"/>
    <xf numFmtId="0" fontId="3" fillId="0" borderId="7" xfId="0" applyFont="1" applyBorder="1"/>
    <xf numFmtId="10" fontId="3" fillId="0" borderId="11" xfId="0" applyNumberFormat="1" applyFont="1" applyBorder="1"/>
    <xf numFmtId="10" fontId="3" fillId="0" borderId="12" xfId="0" applyNumberFormat="1" applyFont="1" applyBorder="1"/>
    <xf numFmtId="10" fontId="3" fillId="0" borderId="9" xfId="0" applyNumberFormat="1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4" xfId="0" applyFont="1" applyBorder="1"/>
    <xf numFmtId="0" fontId="12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11" fillId="11" borderId="1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/>
    </xf>
    <xf numFmtId="0" fontId="14" fillId="10" borderId="15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4"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font>
        <color rgb="FFFF0000"/>
      </font>
    </dxf>
  </dxfs>
  <tableStyles count="0" defaultTableStyle="TableStyleMedium2" defaultPivotStyle="PivotStyleLight16"/>
  <colors>
    <mruColors>
      <color rgb="FFFFCCCC"/>
      <color rgb="FFFF9999"/>
      <color rgb="FFFFCCFF"/>
      <color rgb="FFFF99FF"/>
      <color rgb="FFCC99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refreshOnLoad="1" connectionId="2" xr16:uid="{C8E3821F-6AD2-4127-B587-18F55AD540E3}" autoFormatId="16" applyNumberFormats="0" applyBorderFormats="0" applyFontFormats="0" applyPatternFormats="0" applyAlignmentFormats="0" applyWidthHeightFormats="0">
  <queryTableRefresh nextId="3">
    <queryTableFields count="2">
      <queryTableField id="1" name="Column1" tableColumnId="1"/>
      <queryTableField id="2" name="Column2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2A4C83D-1F30-4254-B9E1-23E446518CB4}" name="بيانات_الأسعار_1" displayName="بيانات_الأسعار_1" ref="A1:B15" tableType="queryTable" totalsRowShown="0" headerRowDxfId="2">
  <autoFilter ref="A1:B15" xr:uid="{82A4C83D-1F30-4254-B9E1-23E446518CB4}"/>
  <tableColumns count="2">
    <tableColumn id="1" xr3:uid="{8DA8A84F-947D-479E-9E6E-525A1A0D7775}" uniqueName="1" name="Column1" queryTableFieldId="1" dataDxfId="1"/>
    <tableColumn id="2" xr3:uid="{D640FA16-8E0E-4C9B-A097-26B6F78EC817}" uniqueName="2" name="Column2" queryTableFieldId="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2679-5A35-423D-9BE1-0EB0332424AA}">
  <dimension ref="A1:H15"/>
  <sheetViews>
    <sheetView rightToLeft="1" tabSelected="1" workbookViewId="0">
      <selection activeCell="G4" sqref="G4"/>
    </sheetView>
  </sheetViews>
  <sheetFormatPr defaultRowHeight="18"/>
  <cols>
    <col min="1" max="1" width="19.25" style="1" customWidth="1"/>
    <col min="2" max="2" width="11.5" style="1" customWidth="1"/>
    <col min="3" max="3" width="11.875" style="94" customWidth="1"/>
    <col min="4" max="4" width="16.625" style="11" customWidth="1"/>
    <col min="5" max="5" width="12.875" style="11" customWidth="1"/>
    <col min="6" max="6" width="12.625" style="14" customWidth="1"/>
    <col min="7" max="7" width="19.5" style="14" customWidth="1"/>
    <col min="8" max="8" width="31.125" style="1" customWidth="1"/>
    <col min="9" max="16384" width="9" style="1"/>
  </cols>
  <sheetData>
    <row r="1" spans="1:8" ht="27.75" customHeight="1">
      <c r="A1" s="99" t="s">
        <v>0</v>
      </c>
      <c r="B1" s="99"/>
      <c r="C1" s="99"/>
      <c r="D1" s="99"/>
      <c r="E1" s="99"/>
      <c r="F1" s="99"/>
      <c r="G1" s="99"/>
      <c r="H1" s="99"/>
    </row>
    <row r="2" spans="1:8">
      <c r="A2" s="100" t="s">
        <v>1</v>
      </c>
      <c r="B2" s="100"/>
      <c r="C2" s="100"/>
      <c r="D2" s="100"/>
      <c r="E2" s="100"/>
      <c r="F2" s="100"/>
      <c r="G2" s="100"/>
      <c r="H2" s="100"/>
    </row>
    <row r="3" spans="1:8" s="6" customFormat="1" ht="40.5" customHeight="1">
      <c r="A3" s="4"/>
      <c r="B3" s="5" t="s">
        <v>13</v>
      </c>
      <c r="C3" s="92" t="s">
        <v>14</v>
      </c>
      <c r="D3" s="9" t="s">
        <v>2</v>
      </c>
      <c r="E3" s="9" t="s">
        <v>3</v>
      </c>
      <c r="F3" s="12" t="s">
        <v>4</v>
      </c>
      <c r="G3" s="15" t="s">
        <v>10</v>
      </c>
      <c r="H3" s="4" t="s">
        <v>11</v>
      </c>
    </row>
    <row r="4" spans="1:8">
      <c r="A4" s="3" t="s">
        <v>5</v>
      </c>
      <c r="B4" s="2">
        <f>COUNTIF('تفاصيل المحفظة الاستثمارية'!$A$4:$A$18,A4)</f>
        <v>4</v>
      </c>
      <c r="C4" s="93">
        <f>AVERAGEIF('تفاصيل المحفظة الاستثمارية'!$A$4:$A$18,A4,'تفاصيل المحفظة الاستثمارية'!$Q$4:$Q$18)</f>
        <v>35.75</v>
      </c>
      <c r="D4" s="10">
        <f>SUMIF('تفاصيل المحفظة الاستثمارية'!$A$4:$A$18,A4,'تفاصيل المحفظة الاستثمارية'!$G$4:$G$18)</f>
        <v>23772.5</v>
      </c>
      <c r="E4" s="10">
        <f>SUMIF('تفاصيل المحفظة الاستثمارية'!$A$4:$A$18,A4,'تفاصيل المحفظة الاستثمارية'!$K$4:$K$18)</f>
        <v>27274</v>
      </c>
      <c r="F4" s="13">
        <f>((E4-D4)/D4)/(C4/12)</f>
        <v>4.944068446013971E-2</v>
      </c>
      <c r="G4" s="13">
        <f>HLOOKUP(H4,'المقارنة المعيارية'!$B$2:$E$6,4,FALSE)</f>
        <v>6.0299999999999999E-2</v>
      </c>
      <c r="H4" s="20" t="s">
        <v>15</v>
      </c>
    </row>
    <row r="5" spans="1:8">
      <c r="A5" s="3" t="s">
        <v>6</v>
      </c>
      <c r="B5" s="2">
        <f>COUNTIF('تفاصيل المحفظة الاستثمارية'!$A$4:$A$18,A5)</f>
        <v>3</v>
      </c>
      <c r="C5" s="93">
        <f>AVERAGEIF('تفاصيل المحفظة الاستثمارية'!$A$4:$A$18,A5,'تفاصيل المحفظة الاستثمارية'!$Q$4:$Q$18)</f>
        <v>33.666666666666664</v>
      </c>
      <c r="D5" s="10">
        <f>SUMIF('تفاصيل المحفظة الاستثمارية'!$A$4:$A$18,A5,'تفاصيل المحفظة الاستثمارية'!$G$4:$G$18)</f>
        <v>22110</v>
      </c>
      <c r="E5" s="10">
        <f>SUMIF('تفاصيل المحفظة الاستثمارية'!$A$4:$A$18,A5,'تفاصيل المحفظة الاستثمارية'!$K$4:$K$18)</f>
        <v>22903.840733842793</v>
      </c>
      <c r="F5" s="13">
        <f t="shared" ref="F5:F7" si="0">((E5-D5)/D5)/(C5/12)</f>
        <v>1.2797518446624016E-2</v>
      </c>
      <c r="G5" s="13">
        <f>HLOOKUP(H5,'المقارنة المعيارية'!$B$2:$E$6,4,FALSE)</f>
        <v>2.5399999999999999E-2</v>
      </c>
      <c r="H5" s="20" t="s">
        <v>16</v>
      </c>
    </row>
    <row r="6" spans="1:8">
      <c r="A6" s="3" t="s">
        <v>7</v>
      </c>
      <c r="B6" s="2">
        <f>COUNTIF('تفاصيل المحفظة الاستثمارية'!$A$4:$A$18,A6)</f>
        <v>3</v>
      </c>
      <c r="C6" s="93">
        <f>AVERAGEIF('تفاصيل المحفظة الاستثمارية'!$A$4:$A$18,A6,'تفاصيل المحفظة الاستثمارية'!$Q$4:$Q$18)</f>
        <v>26.666666666666668</v>
      </c>
      <c r="D6" s="10">
        <f>SUMIF('تفاصيل المحفظة الاستثمارية'!$A$4:$A$18,A6,'تفاصيل المحفظة الاستثمارية'!$G$4:$G$18)</f>
        <v>18982.5</v>
      </c>
      <c r="E6" s="10">
        <f>SUMIF('تفاصيل المحفظة الاستثمارية'!$A$4:$A$18,A6,'تفاصيل المحفظة الاستثمارية'!$K$4:$K$18)</f>
        <v>22578.489148337248</v>
      </c>
      <c r="F6" s="13">
        <f t="shared" si="0"/>
        <v>8.5246680719176168E-2</v>
      </c>
      <c r="G6" s="13">
        <f>HLOOKUP(H6,'المقارنة المعيارية'!$B$2:$E$6,4,FALSE)</f>
        <v>1.2999999999999999E-2</v>
      </c>
      <c r="H6" s="20" t="s">
        <v>17</v>
      </c>
    </row>
    <row r="7" spans="1:8">
      <c r="A7" s="3" t="s">
        <v>8</v>
      </c>
      <c r="B7" s="2">
        <f>COUNTIF('تفاصيل المحفظة الاستثمارية'!$A$4:$A$18,A7)</f>
        <v>5</v>
      </c>
      <c r="C7" s="93">
        <f>AVERAGEIF('تفاصيل المحفظة الاستثمارية'!$A$4:$A$18,A7,'تفاصيل المحفظة الاستثمارية'!$Q$4:$Q$18)</f>
        <v>63</v>
      </c>
      <c r="D7" s="10">
        <f>SUMIF('تفاصيل المحفظة الاستثمارية'!$A$4:$A$18,A7,'تفاصيل المحفظة الاستثمارية'!$G$4:$G$18)</f>
        <v>31762.5</v>
      </c>
      <c r="E7" s="10">
        <f>SUMIF('تفاصيل المحفظة الاستثمارية'!$A$4:$A$18,A7,'تفاصيل المحفظة الاستثمارية'!$K$4:$K$18)</f>
        <v>45101.085260954264</v>
      </c>
      <c r="F7" s="13">
        <f t="shared" si="0"/>
        <v>7.9990016744539344E-2</v>
      </c>
      <c r="G7" s="13">
        <f>HLOOKUP(H7,'المقارنة المعيارية'!$B$2:$E$6,4,FALSE)</f>
        <v>5.3499999999999999E-2</v>
      </c>
      <c r="H7" s="20" t="s">
        <v>18</v>
      </c>
    </row>
    <row r="8" spans="1:8">
      <c r="A8" s="17" t="s">
        <v>9</v>
      </c>
      <c r="B8" s="95">
        <f>SUM(B4:B7)</f>
        <v>15</v>
      </c>
      <c r="C8" s="95">
        <v>43</v>
      </c>
      <c r="D8" s="96">
        <f>SUM(D4:D7)</f>
        <v>96627.5</v>
      </c>
      <c r="E8" s="96">
        <f>SUM(E4:E7)</f>
        <v>117857.41514313431</v>
      </c>
      <c r="F8" s="13">
        <f>((E8-D8)/D8)/(C8/12)</f>
        <v>6.1314092590669556E-2</v>
      </c>
      <c r="G8" s="13"/>
      <c r="H8" s="2"/>
    </row>
    <row r="9" spans="1:8" ht="23.25" customHeight="1">
      <c r="A9" s="101" t="s">
        <v>12</v>
      </c>
      <c r="B9" s="101"/>
      <c r="C9" s="101"/>
      <c r="D9" s="101"/>
      <c r="E9" s="101"/>
      <c r="F9" s="101"/>
    </row>
    <row r="10" spans="1:8" s="6" customFormat="1" ht="41.25" customHeight="1">
      <c r="A10" s="7"/>
      <c r="B10" s="5" t="s">
        <v>13</v>
      </c>
      <c r="C10" s="92" t="s">
        <v>14</v>
      </c>
      <c r="D10" s="9" t="s">
        <v>2</v>
      </c>
      <c r="E10" s="9" t="s">
        <v>3</v>
      </c>
      <c r="F10" s="12" t="s">
        <v>4</v>
      </c>
      <c r="G10" s="16"/>
    </row>
    <row r="11" spans="1:8">
      <c r="A11" s="3" t="s">
        <v>5</v>
      </c>
      <c r="B11" s="2">
        <f>COUNTIFS('تفاصيل المحفظة الاستثمارية'!$A$4:$A$18,A11,'تفاصيل المحفظة الاستثمارية'!$W$4:$W$18,"&lt;=-1%")</f>
        <v>1</v>
      </c>
      <c r="C11" s="93">
        <f>AVERAGEIFS('تفاصيل المحفظة الاستثمارية'!$Q$4:$Q$18,'تفاصيل المحفظة الاستثمارية'!$A$4:$A$18,A11,'تفاصيل المحفظة الاستثمارية'!$W$4:$W$18,"&lt;=-1%")</f>
        <v>10</v>
      </c>
      <c r="D11" s="10">
        <f>SUMIFS('تفاصيل المحفظة الاستثمارية'!$G$4:$G$18,'تفاصيل المحفظة الاستثمارية'!$A$4:$A$18,A11,'تفاصيل المحفظة الاستثمارية'!$W$4:$W$18,"&lt;=-1%")</f>
        <v>5500</v>
      </c>
      <c r="E11" s="10">
        <f>SUMIFS('تفاصيل المحفظة الاستثمارية'!$K$4:$K$18,'تفاصيل المحفظة الاستثمارية'!$A$4:$A$18,A11,'تفاصيل المحفظة الاستثمارية'!$W$4:$W$18,"&lt;=-1%")</f>
        <v>5626</v>
      </c>
      <c r="F11" s="13">
        <f>((E11-D11)/D11)/(C11/12)</f>
        <v>2.749090909090909E-2</v>
      </c>
    </row>
    <row r="12" spans="1:8">
      <c r="A12" s="3" t="s">
        <v>6</v>
      </c>
      <c r="B12" s="2">
        <f>COUNTIFS('تفاصيل المحفظة الاستثمارية'!$A$4:$A$18,A12,'تفاصيل المحفظة الاستثمارية'!$W$4:$W$18,"&lt;=-1%")</f>
        <v>3</v>
      </c>
      <c r="C12" s="93">
        <f>AVERAGEIFS('تفاصيل المحفظة الاستثمارية'!$Q$4:$Q$18,'تفاصيل المحفظة الاستثمارية'!$A$4:$A$18,A12,'تفاصيل المحفظة الاستثمارية'!$W$4:$W$18,"&lt;=-1%")</f>
        <v>33.666666666666664</v>
      </c>
      <c r="D12" s="10">
        <f>SUMIFS('تفاصيل المحفظة الاستثمارية'!$G$4:$G$18,'تفاصيل المحفظة الاستثمارية'!$A$4:$A$18,A12,'تفاصيل المحفظة الاستثمارية'!$W$4:$W$18,"&lt;=-1%")</f>
        <v>22110</v>
      </c>
      <c r="E12" s="10">
        <f>SUMIFS('تفاصيل المحفظة الاستثمارية'!$K$4:$K$18,'تفاصيل المحفظة الاستثمارية'!$A$4:$A$18,A12,'تفاصيل المحفظة الاستثمارية'!$W$4:$W$18,"&lt;=-1%")</f>
        <v>22903.840733842793</v>
      </c>
      <c r="F12" s="13">
        <f t="shared" ref="F12:F15" si="1">((E12-D12)/D12)/(C12/12)</f>
        <v>1.2797518446624016E-2</v>
      </c>
    </row>
    <row r="13" spans="1:8">
      <c r="A13" s="3" t="s">
        <v>7</v>
      </c>
      <c r="B13" s="2">
        <f>COUNTIFS('تفاصيل المحفظة الاستثمارية'!$A$4:$A$18,A13,'تفاصيل المحفظة الاستثمارية'!$W$4:$W$18,"&lt;=-1%")</f>
        <v>1</v>
      </c>
      <c r="C13" s="93">
        <f>AVERAGEIFS('تفاصيل المحفظة الاستثمارية'!$Q$4:$Q$18,'تفاصيل المحفظة الاستثمارية'!$A$4:$A$18,A13,'تفاصيل المحفظة الاستثمارية'!$W$4:$W$18,"&lt;=-1%")</f>
        <v>42</v>
      </c>
      <c r="D13" s="10">
        <f>SUMIFS('تفاصيل المحفظة الاستثمارية'!$G$4:$G$18,'تفاصيل المحفظة الاستثمارية'!$A$4:$A$18,A13,'تفاصيل المحفظة الاستثمارية'!$W$4:$W$18,"&lt;=-1%")</f>
        <v>7340</v>
      </c>
      <c r="E13" s="10">
        <f>SUMIFS('تفاصيل المحفظة الاستثمارية'!$K$4:$K$18,'تفاصيل المحفظة الاستثمارية'!$A$4:$A$18,A13,'تفاصيل المحفظة الاستثمارية'!$W$4:$W$18,"&lt;=-1%")</f>
        <v>5958.4831419919183</v>
      </c>
      <c r="F13" s="13">
        <f t="shared" si="1"/>
        <v>-5.3776444453409178E-2</v>
      </c>
    </row>
    <row r="14" spans="1:8">
      <c r="A14" s="3" t="s">
        <v>8</v>
      </c>
      <c r="B14" s="2">
        <f>COUNTIFS('تفاصيل المحفظة الاستثمارية'!$A$4:$A$18,A14,'تفاصيل المحفظة الاستثمارية'!$W$4:$W$18,"&lt;=-1%")</f>
        <v>2</v>
      </c>
      <c r="C14" s="93">
        <f>AVERAGEIFS('تفاصيل المحفظة الاستثمارية'!$Q$4:$Q$18,'تفاصيل المحفظة الاستثمارية'!$A$4:$A$18,A14,'تفاصيل المحفظة الاستثمارية'!$W$4:$W$18,"&lt;=-1%")</f>
        <v>68.5</v>
      </c>
      <c r="D14" s="10">
        <f>SUMIFS('تفاصيل المحفظة الاستثمارية'!$G$4:$G$18,'تفاصيل المحفظة الاستثمارية'!$A$4:$A$18,A14,'تفاصيل المحفظة الاستثمارية'!$W$4:$W$18,"&lt;=-1%")</f>
        <v>10096.5</v>
      </c>
      <c r="E14" s="10">
        <f>SUMIFS('تفاصيل المحفظة الاستثمارية'!$K$4:$K$18,'تفاصيل المحفظة الاستثمارية'!$A$4:$A$18,A14,'تفاصيل المحفظة الاستثمارية'!$W$4:$W$18,"&lt;=-1%")</f>
        <v>13990.736907457132</v>
      </c>
      <c r="F14" s="13">
        <f t="shared" si="1"/>
        <v>6.7568175702262354E-2</v>
      </c>
    </row>
    <row r="15" spans="1:8">
      <c r="A15" s="17" t="s">
        <v>9</v>
      </c>
      <c r="B15" s="18">
        <f>SUM(B11:B14)</f>
        <v>7</v>
      </c>
      <c r="C15" s="97">
        <f>AVERAGEIF('تفاصيل المحفظة الاستثمارية'!$W$4:$W$18,"&lt;=-1%",'تفاصيل المحفظة الاستثمارية'!$Q$4:$Q$18)</f>
        <v>41.428571428571431</v>
      </c>
      <c r="D15" s="19">
        <f>SUM(D11:D14)</f>
        <v>45046.5</v>
      </c>
      <c r="E15" s="19">
        <f>SUM(E11:E14)</f>
        <v>48479.060783291847</v>
      </c>
      <c r="F15" s="98">
        <f t="shared" si="1"/>
        <v>2.2071836557895165E-2</v>
      </c>
    </row>
  </sheetData>
  <mergeCells count="3">
    <mergeCell ref="A1:H1"/>
    <mergeCell ref="A2:H2"/>
    <mergeCell ref="A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06C21-6F9B-415D-A017-279DAECDDF2D}">
  <dimension ref="A1:X19"/>
  <sheetViews>
    <sheetView rightToLeft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5" sqref="G5"/>
    </sheetView>
  </sheetViews>
  <sheetFormatPr defaultRowHeight="14.25"/>
  <cols>
    <col min="1" max="1" width="19.25" customWidth="1"/>
    <col min="2" max="2" width="8.75" customWidth="1"/>
    <col min="3" max="3" width="28.375" customWidth="1"/>
    <col min="4" max="4" width="12.25" style="27" customWidth="1"/>
    <col min="5" max="5" width="13.75" customWidth="1"/>
    <col min="6" max="6" width="12" style="34" customWidth="1"/>
    <col min="7" max="7" width="10.5" style="42" customWidth="1"/>
    <col min="8" max="8" width="10.875" style="34" customWidth="1"/>
    <col min="9" max="9" width="11.375" style="42" customWidth="1"/>
    <col min="10" max="10" width="12.5" customWidth="1"/>
    <col min="11" max="11" width="14.75" style="42" customWidth="1"/>
    <col min="12" max="12" width="17.5" style="69" customWidth="1"/>
    <col min="13" max="13" width="21.25" style="69" customWidth="1"/>
    <col min="14" max="14" width="16.375" customWidth="1"/>
    <col min="15" max="15" width="11.25" customWidth="1"/>
    <col min="16" max="16" width="10.25" customWidth="1"/>
    <col min="17" max="17" width="9.875" customWidth="1"/>
    <col min="18" max="18" width="10.25" customWidth="1"/>
    <col min="19" max="19" width="16.375" style="42" customWidth="1"/>
    <col min="20" max="20" width="13" style="27" customWidth="1"/>
    <col min="21" max="21" width="15.625" style="27" customWidth="1"/>
    <col min="22" max="22" width="13.625" style="27" customWidth="1"/>
    <col min="23" max="23" width="21.5" style="27" customWidth="1"/>
    <col min="24" max="24" width="10.5" customWidth="1"/>
  </cols>
  <sheetData>
    <row r="1" spans="1:24" ht="31.5" customHeight="1">
      <c r="A1" s="104" t="s">
        <v>19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4" s="21" customFormat="1" ht="18">
      <c r="A2" s="106" t="s">
        <v>21</v>
      </c>
      <c r="B2" s="107"/>
      <c r="C2" s="107"/>
      <c r="D2" s="108"/>
      <c r="E2" s="109" t="s">
        <v>20</v>
      </c>
      <c r="F2" s="110"/>
      <c r="G2" s="111"/>
      <c r="H2" s="112" t="s">
        <v>3</v>
      </c>
      <c r="I2" s="112"/>
      <c r="J2" s="112"/>
      <c r="K2" s="112"/>
      <c r="L2" s="102" t="s">
        <v>50</v>
      </c>
      <c r="M2" s="102"/>
      <c r="N2" s="102"/>
      <c r="O2" s="102"/>
      <c r="P2" s="102"/>
      <c r="Q2" s="102"/>
      <c r="R2" s="102"/>
      <c r="S2" s="103"/>
      <c r="T2" s="103"/>
      <c r="U2" s="103"/>
      <c r="V2" s="103"/>
      <c r="W2" s="103"/>
      <c r="X2" s="103"/>
    </row>
    <row r="3" spans="1:24" s="31" customFormat="1" ht="38.25" customHeight="1">
      <c r="A3" s="28" t="s">
        <v>22</v>
      </c>
      <c r="B3" s="29" t="s">
        <v>23</v>
      </c>
      <c r="C3" s="29" t="s">
        <v>24</v>
      </c>
      <c r="D3" s="30" t="s">
        <v>25</v>
      </c>
      <c r="E3" s="28" t="s">
        <v>26</v>
      </c>
      <c r="F3" s="33" t="s">
        <v>30</v>
      </c>
      <c r="G3" s="49" t="s">
        <v>27</v>
      </c>
      <c r="H3" s="35" t="s">
        <v>28</v>
      </c>
      <c r="I3" s="58" t="s">
        <v>29</v>
      </c>
      <c r="J3" s="55" t="s">
        <v>46</v>
      </c>
      <c r="K3" s="66" t="s">
        <v>47</v>
      </c>
      <c r="L3" s="70" t="s">
        <v>48</v>
      </c>
      <c r="M3" s="67" t="s">
        <v>49</v>
      </c>
      <c r="N3" s="55" t="s">
        <v>51</v>
      </c>
      <c r="O3" s="55" t="s">
        <v>52</v>
      </c>
      <c r="P3" s="55" t="s">
        <v>53</v>
      </c>
      <c r="Q3" s="36" t="s">
        <v>55</v>
      </c>
      <c r="R3" s="55" t="s">
        <v>54</v>
      </c>
      <c r="S3" s="62" t="s">
        <v>56</v>
      </c>
      <c r="T3" s="78" t="s">
        <v>60</v>
      </c>
      <c r="U3" s="78" t="s">
        <v>61</v>
      </c>
      <c r="V3" s="84" t="s">
        <v>57</v>
      </c>
      <c r="W3" s="78" t="s">
        <v>58</v>
      </c>
      <c r="X3" s="55" t="s">
        <v>59</v>
      </c>
    </row>
    <row r="4" spans="1:24" ht="18">
      <c r="A4" s="22" t="s">
        <v>5</v>
      </c>
      <c r="B4" s="123" t="s">
        <v>31</v>
      </c>
      <c r="C4" s="129" t="str">
        <f>VLOOKUP(B4,'قائمة الاستثمارات'!$A$3:$F$23,2,FALSE)</f>
        <v>استثمار ذو درجة متوسطة</v>
      </c>
      <c r="D4" s="126">
        <v>4.5999999999999999E-2</v>
      </c>
      <c r="E4" s="24">
        <v>750</v>
      </c>
      <c r="F4" s="43">
        <v>9.49</v>
      </c>
      <c r="G4" s="41">
        <f>E4*F4</f>
        <v>7117.5</v>
      </c>
      <c r="H4" s="46">
        <v>9.84</v>
      </c>
      <c r="I4" s="59">
        <v>7380</v>
      </c>
      <c r="J4" s="52">
        <f>FV(D4/12,Q4,0,-G4)-G4</f>
        <v>1434.8386527067451</v>
      </c>
      <c r="K4" s="75">
        <v>8815</v>
      </c>
      <c r="L4" s="72">
        <f>K4/$K$19</f>
        <v>7.4793766597497882E-2</v>
      </c>
      <c r="M4" s="74">
        <v>0.1</v>
      </c>
      <c r="N4" s="88">
        <f>L4-M4</f>
        <v>-2.5206233402502123E-2</v>
      </c>
      <c r="O4" s="37" t="str">
        <f>IF(N4&gt;1%,"أعد التوازن",IF(N4&lt;-1%,"أعد التوازن","موافق"))</f>
        <v>أعد التوازن</v>
      </c>
      <c r="P4" s="53" t="str">
        <f>IF(AND(N4&lt;-1%,S4&gt;=0),"شراء",IF(AND(N4&gt;1%,S4&gt;=0,Q4=12)=TRUE,"بيع","انتظر"))</f>
        <v>شراء</v>
      </c>
      <c r="Q4" s="87">
        <v>48</v>
      </c>
      <c r="R4" s="37" t="str">
        <f>IF(Q4&gt;=12,"طويل","قصير")</f>
        <v>طويل</v>
      </c>
      <c r="S4" s="63">
        <v>1697</v>
      </c>
      <c r="T4" s="79">
        <v>0.23849999999999999</v>
      </c>
      <c r="U4" s="82">
        <v>4.5999999999999999E-2</v>
      </c>
      <c r="V4" s="79">
        <f>T4/(Q4/12)</f>
        <v>5.9624999999999997E-2</v>
      </c>
      <c r="W4" s="86">
        <v>1.3599999999999999E-2</v>
      </c>
      <c r="X4" s="37" t="str">
        <f>IF(OR(S4&lt;0,W4&lt;-1%),"احذر","موافق")</f>
        <v>موافق</v>
      </c>
    </row>
    <row r="5" spans="1:24" ht="18">
      <c r="A5" s="22" t="s">
        <v>5</v>
      </c>
      <c r="B5" s="124" t="s">
        <v>32</v>
      </c>
      <c r="C5" s="130" t="str">
        <f>VLOOKUP(B5,'قائمة الاستثمارات'!$A$3:$F$23,2,FALSE)</f>
        <v>درجة الاستثمار قصيرة الأمد</v>
      </c>
      <c r="D5" s="127">
        <v>3.2000000000000001E-2</v>
      </c>
      <c r="E5" s="25">
        <v>750</v>
      </c>
      <c r="F5" s="44">
        <v>10.68</v>
      </c>
      <c r="G5" s="51">
        <f t="shared" ref="G5:G18" si="0">E5*F5</f>
        <v>8010</v>
      </c>
      <c r="H5" s="77">
        <v>10.73</v>
      </c>
      <c r="I5" s="51">
        <v>8048</v>
      </c>
      <c r="J5" s="56">
        <f t="shared" ref="J5:J18" si="1">FV(D5/12,Q5,0,-G5)-G5</f>
        <v>829.46280025548913</v>
      </c>
      <c r="K5" s="42">
        <v>8877</v>
      </c>
      <c r="L5" s="73">
        <f t="shared" ref="L5:L18" si="2">K5/$K$19</f>
        <v>7.5319825988200639E-2</v>
      </c>
      <c r="M5" s="69">
        <v>0.1</v>
      </c>
      <c r="N5" s="89">
        <f t="shared" ref="N5:N18" si="3">L5-M5</f>
        <v>-2.4680174011799366E-2</v>
      </c>
      <c r="O5" s="38" t="str">
        <f t="shared" ref="O5:O18" si="4">IF(N5&gt;1%,"أعد التوازن",IF(N5&lt;-1%,"أعد التوازن","موافق"))</f>
        <v>أعد التوازن</v>
      </c>
      <c r="P5" s="54" t="str">
        <f t="shared" ref="P5:P18" si="5">IF(AND(N5&lt;-1%,S5&gt;=0),"شراء",IF(AND(N5&gt;1%,S5&gt;=0,Q5=12)=TRUE,"بيع","انتظر"))</f>
        <v>شراء</v>
      </c>
      <c r="Q5">
        <v>37</v>
      </c>
      <c r="R5" s="38" t="str">
        <f t="shared" ref="R5:R18" si="6">IF(Q5&gt;=12,"طويل","قصير")</f>
        <v>طويل</v>
      </c>
      <c r="S5" s="64">
        <v>867</v>
      </c>
      <c r="T5" s="80">
        <v>0.1082</v>
      </c>
      <c r="U5" s="83">
        <v>3.2000000000000001E-2</v>
      </c>
      <c r="V5" s="80">
        <f t="shared" ref="V5:V19" si="7">T5/(Q5/12)</f>
        <v>3.5091891891891894E-2</v>
      </c>
      <c r="W5" s="27">
        <v>3.0999999999999999E-3</v>
      </c>
      <c r="X5" s="38" t="str">
        <f t="shared" ref="X5:X18" si="8">IF(OR(S5&lt;0,W5&lt;-1%),"احذر","موافق")</f>
        <v>موافق</v>
      </c>
    </row>
    <row r="6" spans="1:24" ht="18">
      <c r="A6" s="22" t="s">
        <v>5</v>
      </c>
      <c r="B6" s="124" t="s">
        <v>33</v>
      </c>
      <c r="C6" s="130" t="str">
        <f>VLOOKUP(B6,'قائمة الاستثمارات'!$A$3:$F$23,2,FALSE)</f>
        <v>شركات ذات عائد مرتفع</v>
      </c>
      <c r="D6" s="127">
        <v>7.1999999999999995E-2</v>
      </c>
      <c r="E6" s="25">
        <v>500</v>
      </c>
      <c r="F6" s="44">
        <v>6.29</v>
      </c>
      <c r="G6" s="51">
        <f t="shared" si="0"/>
        <v>3145</v>
      </c>
      <c r="H6" s="77">
        <v>5.82</v>
      </c>
      <c r="I6" s="51">
        <v>2910</v>
      </c>
      <c r="J6" s="56">
        <f t="shared" si="1"/>
        <v>1046.058514026231</v>
      </c>
      <c r="K6" s="42">
        <v>3956</v>
      </c>
      <c r="L6" s="73">
        <f t="shared" si="2"/>
        <v>3.3565983058389287E-2</v>
      </c>
      <c r="M6" s="69">
        <v>0.1</v>
      </c>
      <c r="N6" s="89">
        <f t="shared" si="3"/>
        <v>-6.6434016941610718E-2</v>
      </c>
      <c r="O6" s="38" t="str">
        <f t="shared" si="4"/>
        <v>أعد التوازن</v>
      </c>
      <c r="P6" s="54" t="str">
        <f t="shared" si="5"/>
        <v>شراء</v>
      </c>
      <c r="Q6">
        <v>48</v>
      </c>
      <c r="R6" s="38" t="str">
        <f t="shared" si="6"/>
        <v>طويل</v>
      </c>
      <c r="S6" s="64">
        <v>811</v>
      </c>
      <c r="T6" s="80">
        <v>0.25790000000000002</v>
      </c>
      <c r="U6" s="83">
        <v>7.1999999999999995E-2</v>
      </c>
      <c r="V6" s="80">
        <f t="shared" si="7"/>
        <v>6.4475000000000005E-2</v>
      </c>
      <c r="W6" s="27">
        <v>-7.4999999999999997E-3</v>
      </c>
      <c r="X6" s="38" t="str">
        <f t="shared" si="8"/>
        <v>موافق</v>
      </c>
    </row>
    <row r="7" spans="1:24" ht="18">
      <c r="A7" s="22" t="s">
        <v>5</v>
      </c>
      <c r="B7" s="124" t="s">
        <v>34</v>
      </c>
      <c r="C7" s="130" t="str">
        <f>VLOOKUP(B7,'قائمة الاستثمارات'!$A$3:$F$23,2,FALSE)</f>
        <v>استثمار خزانة طويلة الأمد</v>
      </c>
      <c r="D7" s="127">
        <v>0.04</v>
      </c>
      <c r="E7" s="25">
        <v>500</v>
      </c>
      <c r="F7" s="44">
        <v>11</v>
      </c>
      <c r="G7" s="51">
        <f t="shared" si="0"/>
        <v>5500</v>
      </c>
      <c r="H7" s="47">
        <v>10.88</v>
      </c>
      <c r="I7" s="60">
        <v>5440</v>
      </c>
      <c r="J7" s="56">
        <f t="shared" si="1"/>
        <v>186.10792094233329</v>
      </c>
      <c r="K7" s="42">
        <v>5626</v>
      </c>
      <c r="L7" s="73">
        <f t="shared" si="2"/>
        <v>4.7735647291834722E-2</v>
      </c>
      <c r="M7" s="69">
        <v>0.1</v>
      </c>
      <c r="N7" s="89">
        <f t="shared" si="3"/>
        <v>-5.2264352708165283E-2</v>
      </c>
      <c r="O7" s="38" t="str">
        <f t="shared" si="4"/>
        <v>أعد التوازن</v>
      </c>
      <c r="P7" s="54" t="str">
        <f t="shared" si="5"/>
        <v>شراء</v>
      </c>
      <c r="Q7">
        <v>10</v>
      </c>
      <c r="R7" s="38" t="str">
        <f t="shared" si="6"/>
        <v>قصير</v>
      </c>
      <c r="S7" s="64">
        <v>126</v>
      </c>
      <c r="T7" s="80">
        <v>2.29E-2</v>
      </c>
      <c r="U7" s="83">
        <v>0.04</v>
      </c>
      <c r="V7" s="80">
        <f>T7/(Q7/12)</f>
        <v>2.7479999999999997E-2</v>
      </c>
      <c r="W7" s="27">
        <v>-1.2500000000000001E-2</v>
      </c>
      <c r="X7" s="38" t="str">
        <f t="shared" si="8"/>
        <v>احذر</v>
      </c>
    </row>
    <row r="8" spans="1:24" ht="18">
      <c r="A8" s="22" t="s">
        <v>7</v>
      </c>
      <c r="B8" s="124" t="s">
        <v>35</v>
      </c>
      <c r="C8" s="130" t="str">
        <f>VLOOKUP(B8,'قائمة الاستثمارات'!$A$3:$F$23,2,FALSE)</f>
        <v>الأسواق المتطورة</v>
      </c>
      <c r="D8" s="127">
        <v>2.5999999999999999E-2</v>
      </c>
      <c r="E8" s="25">
        <v>500</v>
      </c>
      <c r="F8" s="44">
        <v>14.68</v>
      </c>
      <c r="G8" s="51">
        <f t="shared" si="0"/>
        <v>7340</v>
      </c>
      <c r="H8" s="47">
        <v>10.52</v>
      </c>
      <c r="I8" s="60">
        <v>5260</v>
      </c>
      <c r="J8" s="56">
        <f t="shared" si="1"/>
        <v>698.48314199191827</v>
      </c>
      <c r="K8" s="42">
        <f t="shared" ref="K8:K18" si="9">I8+J8</f>
        <v>5958.4831419919183</v>
      </c>
      <c r="L8" s="73">
        <f t="shared" si="2"/>
        <v>5.0556709857886482E-2</v>
      </c>
      <c r="M8" s="69">
        <v>7.0000000000000007E-2</v>
      </c>
      <c r="N8" s="89">
        <f t="shared" si="3"/>
        <v>-1.9443290142113524E-2</v>
      </c>
      <c r="O8" s="38" t="str">
        <f t="shared" si="4"/>
        <v>أعد التوازن</v>
      </c>
      <c r="P8" s="54" t="str">
        <f t="shared" si="5"/>
        <v>انتظر</v>
      </c>
      <c r="Q8">
        <v>42</v>
      </c>
      <c r="R8" s="38" t="str">
        <f t="shared" si="6"/>
        <v>طويل</v>
      </c>
      <c r="S8" s="64">
        <v>-1382</v>
      </c>
      <c r="T8" s="80">
        <v>-0.18820000000000001</v>
      </c>
      <c r="U8" s="83">
        <v>0.08</v>
      </c>
      <c r="V8" s="80">
        <f t="shared" si="7"/>
        <v>-5.3771428571428574E-2</v>
      </c>
      <c r="W8" s="27">
        <v>-0.1338</v>
      </c>
      <c r="X8" s="38" t="str">
        <f t="shared" si="8"/>
        <v>احذر</v>
      </c>
    </row>
    <row r="9" spans="1:24" ht="18">
      <c r="A9" s="22" t="s">
        <v>6</v>
      </c>
      <c r="B9" s="124" t="s">
        <v>36</v>
      </c>
      <c r="C9" s="130" t="str">
        <f>VLOOKUP(B9,'قائمة الاستثمارات'!$A$3:$F$23,2,FALSE)</f>
        <v>إيرادات الأسهم</v>
      </c>
      <c r="D9" s="127">
        <v>2.5000000000000001E-2</v>
      </c>
      <c r="E9" s="25">
        <v>500</v>
      </c>
      <c r="F9" s="44">
        <v>23.35</v>
      </c>
      <c r="G9" s="51">
        <f t="shared" si="0"/>
        <v>11675</v>
      </c>
      <c r="H9" s="47">
        <v>21.51</v>
      </c>
      <c r="I9" s="60">
        <v>10755</v>
      </c>
      <c r="J9" s="56">
        <f t="shared" si="1"/>
        <v>546.97376631645784</v>
      </c>
      <c r="K9" s="42">
        <f t="shared" si="9"/>
        <v>11301.973766316458</v>
      </c>
      <c r="L9" s="73">
        <f t="shared" si="2"/>
        <v>9.5895313439468763E-2</v>
      </c>
      <c r="M9" s="69">
        <v>0.05</v>
      </c>
      <c r="N9" s="89">
        <f t="shared" si="3"/>
        <v>4.589531343946876E-2</v>
      </c>
      <c r="O9" s="38" t="str">
        <f t="shared" si="4"/>
        <v>أعد التوازن</v>
      </c>
      <c r="P9" s="54" t="str">
        <f t="shared" si="5"/>
        <v>انتظر</v>
      </c>
      <c r="Q9">
        <v>22</v>
      </c>
      <c r="R9" s="38" t="str">
        <f t="shared" si="6"/>
        <v>طويل</v>
      </c>
      <c r="S9" s="64">
        <v>-373</v>
      </c>
      <c r="T9" s="80">
        <v>-3.2000000000000001E-2</v>
      </c>
      <c r="U9" s="83">
        <v>0.08</v>
      </c>
      <c r="V9" s="80">
        <f t="shared" si="7"/>
        <v>-1.7454545454545455E-2</v>
      </c>
      <c r="W9" s="27">
        <v>-9.74E-2</v>
      </c>
      <c r="X9" s="38" t="str">
        <f t="shared" si="8"/>
        <v>احذر</v>
      </c>
    </row>
    <row r="10" spans="1:24" ht="18">
      <c r="A10" s="22" t="s">
        <v>6</v>
      </c>
      <c r="B10" s="124" t="s">
        <v>37</v>
      </c>
      <c r="C10" s="130" t="str">
        <f>VLOOKUP(B10,'قائمة الاستثمارات'!$A$3:$F$23,2,FALSE)</f>
        <v>شركة صغيرة الحجم</v>
      </c>
      <c r="D10" s="127">
        <v>3.0000000000000001E-3</v>
      </c>
      <c r="E10" s="25">
        <v>250</v>
      </c>
      <c r="F10" s="44">
        <v>19.329999999999998</v>
      </c>
      <c r="G10" s="51">
        <f t="shared" si="0"/>
        <v>4832.5</v>
      </c>
      <c r="H10" s="47">
        <v>23.67</v>
      </c>
      <c r="I10" s="60">
        <v>5918</v>
      </c>
      <c r="J10" s="56">
        <f t="shared" si="1"/>
        <v>40.028010244205689</v>
      </c>
      <c r="K10" s="42">
        <f t="shared" si="9"/>
        <v>5958.0280102442057</v>
      </c>
      <c r="L10" s="73">
        <f t="shared" si="2"/>
        <v>5.0552848142888233E-2</v>
      </c>
      <c r="M10" s="69">
        <v>0.05</v>
      </c>
      <c r="N10" s="89">
        <f t="shared" si="3"/>
        <v>5.5284814288823064E-4</v>
      </c>
      <c r="O10" s="38" t="str">
        <f t="shared" si="4"/>
        <v>موافق</v>
      </c>
      <c r="P10" s="54" t="str">
        <f t="shared" si="5"/>
        <v>انتظر</v>
      </c>
      <c r="Q10">
        <v>33</v>
      </c>
      <c r="R10" s="38" t="str">
        <f t="shared" si="6"/>
        <v>طويل</v>
      </c>
      <c r="S10" s="64">
        <v>1125</v>
      </c>
      <c r="T10" s="80">
        <v>0.23280000000000001</v>
      </c>
      <c r="U10" s="83">
        <v>0.1</v>
      </c>
      <c r="V10" s="80">
        <f t="shared" si="7"/>
        <v>8.4654545454545455E-2</v>
      </c>
      <c r="W10" s="27">
        <v>-1.5299999999999999E-2</v>
      </c>
      <c r="X10" s="38" t="str">
        <f t="shared" si="8"/>
        <v>احذر</v>
      </c>
    </row>
    <row r="11" spans="1:24" ht="18">
      <c r="A11" s="22" t="s">
        <v>6</v>
      </c>
      <c r="B11" s="124" t="s">
        <v>38</v>
      </c>
      <c r="C11" s="130" t="str">
        <f>VLOOKUP(B11,'قائمة الاستثمارات'!$A$3:$F$23,2,FALSE)</f>
        <v>شركة متوسطة الحجم</v>
      </c>
      <c r="D11" s="127">
        <v>0.01</v>
      </c>
      <c r="E11" s="25">
        <v>250</v>
      </c>
      <c r="F11" s="44">
        <v>22.41</v>
      </c>
      <c r="G11" s="51">
        <f t="shared" si="0"/>
        <v>5602.5</v>
      </c>
      <c r="H11" s="47">
        <v>21.7</v>
      </c>
      <c r="I11" s="60">
        <v>5425</v>
      </c>
      <c r="J11" s="56">
        <f t="shared" si="1"/>
        <v>218.83895728212974</v>
      </c>
      <c r="K11" s="42">
        <f t="shared" si="9"/>
        <v>5643.8389572821297</v>
      </c>
      <c r="L11" s="73">
        <f t="shared" si="2"/>
        <v>4.7887007791812299E-2</v>
      </c>
      <c r="M11" s="69">
        <v>0.05</v>
      </c>
      <c r="N11" s="89">
        <f t="shared" si="3"/>
        <v>-2.1129922081877042E-3</v>
      </c>
      <c r="O11" s="38" t="str">
        <f t="shared" si="4"/>
        <v>موافق</v>
      </c>
      <c r="P11" s="54" t="str">
        <f t="shared" si="5"/>
        <v>انتظر</v>
      </c>
      <c r="Q11">
        <v>46</v>
      </c>
      <c r="R11" s="38" t="str">
        <f t="shared" si="6"/>
        <v>طويل</v>
      </c>
      <c r="S11" s="64">
        <v>41</v>
      </c>
      <c r="T11" s="80">
        <v>7.4000000000000003E-3</v>
      </c>
      <c r="U11" s="83">
        <v>0.1</v>
      </c>
      <c r="V11" s="80">
        <f t="shared" si="7"/>
        <v>1.9304347826086957E-3</v>
      </c>
      <c r="W11" s="27">
        <v>-9.8100000000000007E-2</v>
      </c>
      <c r="X11" s="38" t="str">
        <f t="shared" si="8"/>
        <v>احذر</v>
      </c>
    </row>
    <row r="12" spans="1:24" ht="18">
      <c r="A12" s="22" t="s">
        <v>7</v>
      </c>
      <c r="B12" s="124" t="s">
        <v>39</v>
      </c>
      <c r="C12" s="130" t="str">
        <f>VLOOKUP(B12,'قائمة الاستثمارات'!$A$3:$F$23,2,FALSE)</f>
        <v>قيمة عالمية</v>
      </c>
      <c r="D12" s="127">
        <v>0.02</v>
      </c>
      <c r="E12" s="25">
        <v>250</v>
      </c>
      <c r="F12" s="44">
        <v>22.83</v>
      </c>
      <c r="G12" s="51">
        <f t="shared" si="0"/>
        <v>5707.5</v>
      </c>
      <c r="H12" s="47">
        <v>33.299999999999997</v>
      </c>
      <c r="I12" s="60">
        <v>8325</v>
      </c>
      <c r="J12" s="56">
        <f t="shared" si="1"/>
        <v>282.39689829524286</v>
      </c>
      <c r="K12" s="42">
        <f t="shared" si="9"/>
        <v>8607.3968982952429</v>
      </c>
      <c r="L12" s="73">
        <f t="shared" si="2"/>
        <v>7.3032289804097733E-2</v>
      </c>
      <c r="M12" s="69">
        <v>7.0000000000000007E-2</v>
      </c>
      <c r="N12" s="89">
        <f t="shared" si="3"/>
        <v>3.0322898040977264E-3</v>
      </c>
      <c r="O12" s="38" t="str">
        <f t="shared" si="4"/>
        <v>موافق</v>
      </c>
      <c r="P12" s="54" t="str">
        <f t="shared" si="5"/>
        <v>انتظر</v>
      </c>
      <c r="Q12">
        <v>29</v>
      </c>
      <c r="R12" s="38" t="str">
        <f t="shared" si="6"/>
        <v>طويل</v>
      </c>
      <c r="S12" s="64">
        <v>2900</v>
      </c>
      <c r="T12" s="80">
        <v>0.5081</v>
      </c>
      <c r="U12" s="83">
        <v>0.1</v>
      </c>
      <c r="V12" s="80">
        <f t="shared" si="7"/>
        <v>0.21024827586206898</v>
      </c>
      <c r="W12" s="27">
        <v>0.11020000000000001</v>
      </c>
      <c r="X12" s="38" t="str">
        <f t="shared" si="8"/>
        <v>موافق</v>
      </c>
    </row>
    <row r="13" spans="1:24" ht="18">
      <c r="A13" s="22" t="s">
        <v>7</v>
      </c>
      <c r="B13" s="124" t="s">
        <v>40</v>
      </c>
      <c r="C13" s="130" t="str">
        <f>VLOOKUP(B13,'قائمة الاستثمارات'!$A$3:$F$23,2,FALSE)</f>
        <v>الأسواق الناشئة</v>
      </c>
      <c r="D13" s="127">
        <v>1.4E-2</v>
      </c>
      <c r="E13" s="25">
        <v>250</v>
      </c>
      <c r="F13" s="44">
        <v>23.74</v>
      </c>
      <c r="G13" s="51">
        <f t="shared" si="0"/>
        <v>5935</v>
      </c>
      <c r="H13" s="47">
        <v>31.8</v>
      </c>
      <c r="I13" s="60">
        <v>7950</v>
      </c>
      <c r="J13" s="56">
        <f t="shared" si="1"/>
        <v>62.609108050087343</v>
      </c>
      <c r="K13" s="42">
        <f t="shared" si="9"/>
        <v>8012.6091080500873</v>
      </c>
      <c r="L13" s="73">
        <f t="shared" si="2"/>
        <v>6.7985617182584668E-2</v>
      </c>
      <c r="M13" s="69">
        <v>0.06</v>
      </c>
      <c r="N13" s="89">
        <f t="shared" si="3"/>
        <v>7.98561718258467E-3</v>
      </c>
      <c r="O13" s="38" t="str">
        <f t="shared" si="4"/>
        <v>موافق</v>
      </c>
      <c r="P13" s="54" t="str">
        <f t="shared" si="5"/>
        <v>انتظر</v>
      </c>
      <c r="Q13">
        <v>9</v>
      </c>
      <c r="R13" s="38" t="str">
        <f t="shared" si="6"/>
        <v>قصير</v>
      </c>
      <c r="S13" s="64">
        <v>2078</v>
      </c>
      <c r="T13" s="80">
        <v>0.35010000000000002</v>
      </c>
      <c r="U13" s="83">
        <v>0.12</v>
      </c>
      <c r="V13" s="80">
        <f t="shared" si="7"/>
        <v>0.46680000000000005</v>
      </c>
      <c r="W13" s="27">
        <v>0.34670000000000001</v>
      </c>
      <c r="X13" s="38" t="str">
        <f t="shared" si="8"/>
        <v>موافق</v>
      </c>
    </row>
    <row r="14" spans="1:24" ht="18">
      <c r="A14" s="22" t="s">
        <v>8</v>
      </c>
      <c r="B14" s="124" t="s">
        <v>41</v>
      </c>
      <c r="C14" s="130" t="str">
        <f>VLOOKUP(B14,'قائمة الاستثمارات'!$A$3:$F$23,2,FALSE)</f>
        <v>شركة تريفالي للتعدين</v>
      </c>
      <c r="D14" s="127">
        <v>2.4E-2</v>
      </c>
      <c r="E14" s="25">
        <v>150</v>
      </c>
      <c r="F14" s="44">
        <v>38.14</v>
      </c>
      <c r="G14" s="51">
        <f t="shared" si="0"/>
        <v>5721</v>
      </c>
      <c r="H14" s="47">
        <v>55.54</v>
      </c>
      <c r="I14" s="60">
        <v>8331</v>
      </c>
      <c r="J14" s="56">
        <f t="shared" si="1"/>
        <v>885.14189860383431</v>
      </c>
      <c r="K14" s="42">
        <f t="shared" si="9"/>
        <v>9216.1418986038334</v>
      </c>
      <c r="L14" s="73">
        <f t="shared" si="2"/>
        <v>7.8197386964673404E-2</v>
      </c>
      <c r="M14" s="69">
        <v>0.05</v>
      </c>
      <c r="N14" s="89">
        <f t="shared" si="3"/>
        <v>2.8197386964673402E-2</v>
      </c>
      <c r="O14" s="38" t="str">
        <f t="shared" si="4"/>
        <v>أعد التوازن</v>
      </c>
      <c r="P14" s="54" t="str">
        <f t="shared" si="5"/>
        <v>انتظر</v>
      </c>
      <c r="Q14">
        <v>72</v>
      </c>
      <c r="R14" s="38" t="str">
        <f t="shared" si="6"/>
        <v>طويل</v>
      </c>
      <c r="S14" s="64">
        <v>3495</v>
      </c>
      <c r="T14" s="80">
        <v>0.6109</v>
      </c>
      <c r="U14" s="83">
        <v>0.08</v>
      </c>
      <c r="V14" s="80">
        <f t="shared" si="7"/>
        <v>0.10181666666666667</v>
      </c>
      <c r="W14" s="27">
        <v>2.18E-2</v>
      </c>
      <c r="X14" s="38" t="str">
        <f t="shared" si="8"/>
        <v>موافق</v>
      </c>
    </row>
    <row r="15" spans="1:24" ht="18">
      <c r="A15" s="22" t="s">
        <v>8</v>
      </c>
      <c r="B15" s="124" t="s">
        <v>42</v>
      </c>
      <c r="C15" s="130" t="str">
        <f>VLOOKUP(B15,'قائمة الاستثمارات'!$A$3:$F$23,2,FALSE)</f>
        <v>شركة جونسون آند جونسون</v>
      </c>
      <c r="D15" s="127">
        <v>3.5999999999999997E-2</v>
      </c>
      <c r="E15" s="25">
        <v>150</v>
      </c>
      <c r="F15" s="44">
        <v>53.3</v>
      </c>
      <c r="G15" s="51">
        <f t="shared" si="0"/>
        <v>7995</v>
      </c>
      <c r="H15" s="47">
        <v>61.94</v>
      </c>
      <c r="I15" s="60">
        <v>9291</v>
      </c>
      <c r="J15" s="56">
        <f t="shared" si="1"/>
        <v>2380.275578305329</v>
      </c>
      <c r="K15" s="42">
        <f t="shared" si="9"/>
        <v>11671.275578305329</v>
      </c>
      <c r="L15" s="73">
        <f t="shared" si="2"/>
        <v>9.9028776120118636E-2</v>
      </c>
      <c r="M15" s="69">
        <v>0.05</v>
      </c>
      <c r="N15" s="89">
        <f t="shared" si="3"/>
        <v>4.9028776120118633E-2</v>
      </c>
      <c r="O15" s="38" t="str">
        <f t="shared" si="4"/>
        <v>أعد التوازن</v>
      </c>
      <c r="P15" s="54" t="str">
        <f t="shared" si="5"/>
        <v>انتظر</v>
      </c>
      <c r="Q15">
        <v>87</v>
      </c>
      <c r="R15" s="38" t="str">
        <f t="shared" si="6"/>
        <v>طويل</v>
      </c>
      <c r="S15" s="64">
        <v>3676</v>
      </c>
      <c r="T15" s="80">
        <v>0.45979999999999999</v>
      </c>
      <c r="U15" s="83">
        <v>0.08</v>
      </c>
      <c r="V15" s="80">
        <f t="shared" si="7"/>
        <v>6.3420689655172419E-2</v>
      </c>
      <c r="W15" s="27">
        <v>-1.66E-2</v>
      </c>
      <c r="X15" s="38" t="str">
        <f t="shared" si="8"/>
        <v>احذر</v>
      </c>
    </row>
    <row r="16" spans="1:24" ht="18">
      <c r="A16" s="22" t="s">
        <v>8</v>
      </c>
      <c r="B16" s="124" t="s">
        <v>43</v>
      </c>
      <c r="C16" s="130" t="str">
        <f>VLOOKUP(B16,'قائمة الاستثمارات'!$A$3:$F$23,2,FALSE)</f>
        <v>شركة كوكاكولا</v>
      </c>
      <c r="D16" s="127">
        <v>2.8000000000000001E-2</v>
      </c>
      <c r="E16" s="25">
        <v>150</v>
      </c>
      <c r="F16" s="44">
        <v>62.46</v>
      </c>
      <c r="G16" s="51">
        <f t="shared" si="0"/>
        <v>9369</v>
      </c>
      <c r="H16" s="47">
        <v>65.5</v>
      </c>
      <c r="I16" s="60">
        <v>9825</v>
      </c>
      <c r="J16" s="56">
        <f t="shared" si="1"/>
        <v>131.93351958962194</v>
      </c>
      <c r="K16" s="42">
        <f t="shared" si="9"/>
        <v>9956.9335195896219</v>
      </c>
      <c r="L16" s="73">
        <f t="shared" si="2"/>
        <v>8.4482877106181423E-2</v>
      </c>
      <c r="M16" s="69">
        <v>0.05</v>
      </c>
      <c r="N16" s="89">
        <f t="shared" si="3"/>
        <v>3.448287710618142E-2</v>
      </c>
      <c r="O16" s="38" t="str">
        <f t="shared" si="4"/>
        <v>أعد التوازن</v>
      </c>
      <c r="P16" s="54" t="str">
        <f t="shared" si="5"/>
        <v>انتظر</v>
      </c>
      <c r="Q16">
        <v>6</v>
      </c>
      <c r="R16" s="38" t="str">
        <f t="shared" si="6"/>
        <v>قصير</v>
      </c>
      <c r="S16" s="64">
        <v>588</v>
      </c>
      <c r="T16" s="80">
        <v>6.2799999999999995E-2</v>
      </c>
      <c r="U16" s="83">
        <v>0.08</v>
      </c>
      <c r="V16" s="80">
        <f t="shared" si="7"/>
        <v>0.12559999999999999</v>
      </c>
      <c r="W16" s="27">
        <v>4.5499999999999999E-2</v>
      </c>
      <c r="X16" s="38" t="str">
        <f t="shared" si="8"/>
        <v>موافق</v>
      </c>
    </row>
    <row r="17" spans="1:24" ht="18">
      <c r="A17" s="22" t="s">
        <v>8</v>
      </c>
      <c r="B17" s="124" t="s">
        <v>44</v>
      </c>
      <c r="C17" s="130" t="str">
        <f>VLOOKUP(B17,'قائمة الاستثمارات'!$A$3:$F$23,2,FALSE)</f>
        <v>شركة مايكروسوفت</v>
      </c>
      <c r="D17" s="127">
        <v>2.5000000000000001E-2</v>
      </c>
      <c r="E17" s="25">
        <v>75</v>
      </c>
      <c r="F17" s="44">
        <v>28.02</v>
      </c>
      <c r="G17" s="51">
        <f t="shared" si="0"/>
        <v>2101.5</v>
      </c>
      <c r="H17" s="47">
        <v>27.85</v>
      </c>
      <c r="I17" s="60">
        <v>2089</v>
      </c>
      <c r="J17" s="56">
        <f t="shared" si="1"/>
        <v>230.46132915180306</v>
      </c>
      <c r="K17" s="42">
        <f t="shared" si="9"/>
        <v>2319.4613291518031</v>
      </c>
      <c r="L17" s="73">
        <f t="shared" si="2"/>
        <v>1.9680232476971316E-2</v>
      </c>
      <c r="M17" s="69">
        <v>0.05</v>
      </c>
      <c r="N17" s="89">
        <f t="shared" si="3"/>
        <v>-3.0319767523028687E-2</v>
      </c>
      <c r="O17" s="38" t="str">
        <f t="shared" si="4"/>
        <v>أعد التوازن</v>
      </c>
      <c r="P17" s="54" t="str">
        <f t="shared" si="5"/>
        <v>شراء</v>
      </c>
      <c r="Q17">
        <v>50</v>
      </c>
      <c r="R17" s="38" t="str">
        <f t="shared" si="6"/>
        <v>طويل</v>
      </c>
      <c r="S17" s="64">
        <v>218</v>
      </c>
      <c r="T17" s="80">
        <v>0.1036</v>
      </c>
      <c r="U17" s="83">
        <v>0.1</v>
      </c>
      <c r="V17" s="80">
        <f t="shared" si="7"/>
        <v>2.4863999999999997E-2</v>
      </c>
      <c r="W17" s="27">
        <v>-7.51E-2</v>
      </c>
      <c r="X17" s="38" t="str">
        <f t="shared" si="8"/>
        <v>احذر</v>
      </c>
    </row>
    <row r="18" spans="1:24" ht="18">
      <c r="A18" s="22" t="s">
        <v>8</v>
      </c>
      <c r="B18" s="125" t="s">
        <v>45</v>
      </c>
      <c r="C18" s="131" t="str">
        <f>VLOOKUP(B18,'قائمة الاستثمارات'!$A$3:$F$23,2,FALSE)</f>
        <v>ماكينات الأعمال الدولية</v>
      </c>
      <c r="D18" s="128">
        <v>1.6E-2</v>
      </c>
      <c r="E18" s="23">
        <v>75</v>
      </c>
      <c r="F18" s="45">
        <v>87.68</v>
      </c>
      <c r="G18" s="50">
        <f t="shared" si="0"/>
        <v>6576.0000000000009</v>
      </c>
      <c r="H18" s="48">
        <v>146.66999999999999</v>
      </c>
      <c r="I18" s="61">
        <v>11000</v>
      </c>
      <c r="J18" s="57">
        <f t="shared" si="1"/>
        <v>937.27293530368115</v>
      </c>
      <c r="K18" s="76">
        <f t="shared" si="9"/>
        <v>11937.272935303681</v>
      </c>
      <c r="L18" s="71">
        <f t="shared" si="2"/>
        <v>0.10128571817739443</v>
      </c>
      <c r="M18" s="69">
        <v>0.05</v>
      </c>
      <c r="N18" s="90">
        <f t="shared" si="3"/>
        <v>5.1285718177394427E-2</v>
      </c>
      <c r="O18" s="39" t="str">
        <f t="shared" si="4"/>
        <v>أعد التوازن</v>
      </c>
      <c r="P18" s="91" t="str">
        <f t="shared" si="5"/>
        <v>انتظر</v>
      </c>
      <c r="Q18">
        <v>100</v>
      </c>
      <c r="R18" s="39" t="str">
        <f t="shared" si="6"/>
        <v>طويل</v>
      </c>
      <c r="S18" s="64">
        <v>5362</v>
      </c>
      <c r="T18" s="80">
        <v>0.81530000000000002</v>
      </c>
      <c r="U18" s="83">
        <v>0.1</v>
      </c>
      <c r="V18" s="85">
        <f t="shared" si="7"/>
        <v>9.7835999999999992E-2</v>
      </c>
      <c r="W18" s="27">
        <v>-2.2000000000000001E-3</v>
      </c>
      <c r="X18" s="39" t="str">
        <f t="shared" si="8"/>
        <v>موافق</v>
      </c>
    </row>
    <row r="19" spans="1:24" ht="26.25" customHeight="1">
      <c r="A19" s="32" t="s">
        <v>9</v>
      </c>
      <c r="B19" s="23"/>
      <c r="C19" s="23"/>
      <c r="D19" s="26"/>
      <c r="E19" s="2">
        <f>SUM(E4:E18)</f>
        <v>5100</v>
      </c>
      <c r="F19" s="8"/>
      <c r="G19" s="50">
        <f>SUM(G4:G18)</f>
        <v>96627.5</v>
      </c>
      <c r="H19" s="8"/>
      <c r="I19" s="10"/>
      <c r="J19" s="39"/>
      <c r="K19" s="57">
        <f>SUM(K4:K18)</f>
        <v>117857.41514313432</v>
      </c>
      <c r="L19" s="71"/>
      <c r="M19" s="68"/>
      <c r="N19" s="39"/>
      <c r="O19" s="39"/>
      <c r="P19" s="39"/>
      <c r="Q19" s="40">
        <f>AVERAGE(Q4:Q18)</f>
        <v>42.6</v>
      </c>
      <c r="R19" s="39"/>
      <c r="S19" s="65">
        <f>SUM(S4:S18)</f>
        <v>21229</v>
      </c>
      <c r="T19" s="81">
        <v>0.21970000000000001</v>
      </c>
      <c r="U19" s="81"/>
      <c r="V19" s="85">
        <f t="shared" si="7"/>
        <v>6.1887323943661969E-2</v>
      </c>
      <c r="W19" s="81"/>
      <c r="X19" s="39"/>
    </row>
  </sheetData>
  <mergeCells count="6">
    <mergeCell ref="L2:R2"/>
    <mergeCell ref="S2:X2"/>
    <mergeCell ref="A1:X1"/>
    <mergeCell ref="A2:D2"/>
    <mergeCell ref="E2:G2"/>
    <mergeCell ref="H2:K2"/>
  </mergeCells>
  <conditionalFormatting sqref="S4:T18">
    <cfRule type="cellIs" dxfId="3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BFD2-200D-4E28-AA46-C980B8F9E24A}">
  <dimension ref="A1:F23"/>
  <sheetViews>
    <sheetView rightToLeft="1" topLeftCell="A2" workbookViewId="0">
      <selection activeCell="B7" sqref="B7"/>
    </sheetView>
  </sheetViews>
  <sheetFormatPr defaultRowHeight="18"/>
  <cols>
    <col min="1" max="1" width="9" style="113"/>
    <col min="2" max="2" width="28.75" style="113" customWidth="1"/>
    <col min="3" max="3" width="22.625" style="113" customWidth="1"/>
    <col min="4" max="4" width="8.625" style="113" customWidth="1"/>
    <col min="5" max="5" width="12.625" style="122" customWidth="1"/>
    <col min="6" max="6" width="21" style="122" customWidth="1"/>
    <col min="7" max="16384" width="9" style="113"/>
  </cols>
  <sheetData>
    <row r="1" spans="1:6" ht="26.25" customHeight="1">
      <c r="A1" s="115" t="s">
        <v>62</v>
      </c>
      <c r="B1" s="116"/>
      <c r="C1" s="116"/>
      <c r="D1" s="116"/>
      <c r="E1" s="116"/>
      <c r="F1" s="117"/>
    </row>
    <row r="2" spans="1:6" s="119" customFormat="1" ht="32.25" customHeight="1">
      <c r="A2" s="118" t="s">
        <v>23</v>
      </c>
      <c r="B2" s="118" t="s">
        <v>24</v>
      </c>
      <c r="C2" s="118" t="s">
        <v>22</v>
      </c>
      <c r="D2" s="118" t="s">
        <v>63</v>
      </c>
      <c r="E2" s="120" t="s">
        <v>64</v>
      </c>
      <c r="F2" s="120" t="s">
        <v>65</v>
      </c>
    </row>
    <row r="3" spans="1:6">
      <c r="A3" s="114" t="s">
        <v>66</v>
      </c>
      <c r="B3" s="3" t="s">
        <v>72</v>
      </c>
      <c r="C3" s="3" t="s">
        <v>93</v>
      </c>
      <c r="D3" s="114">
        <v>1</v>
      </c>
      <c r="E3" s="121">
        <v>6.9999999999999999E-4</v>
      </c>
      <c r="F3" s="121">
        <v>2.4500000000000001E-2</v>
      </c>
    </row>
    <row r="4" spans="1:6">
      <c r="A4" s="114" t="s">
        <v>34</v>
      </c>
      <c r="B4" s="3" t="s">
        <v>73</v>
      </c>
      <c r="C4" s="3" t="s">
        <v>5</v>
      </c>
      <c r="D4" s="114">
        <v>3</v>
      </c>
      <c r="E4" s="121">
        <v>6.7999999999999996E-3</v>
      </c>
      <c r="F4" s="121">
        <v>3.5099999999999999E-2</v>
      </c>
    </row>
    <row r="5" spans="1:6">
      <c r="A5" s="114" t="s">
        <v>32</v>
      </c>
      <c r="B5" s="3" t="s">
        <v>74</v>
      </c>
      <c r="C5" s="3" t="s">
        <v>5</v>
      </c>
      <c r="D5" s="114">
        <v>1</v>
      </c>
      <c r="E5" s="121">
        <v>3.7900000000000003E-2</v>
      </c>
      <c r="F5" s="121">
        <v>4.9200000000000001E-2</v>
      </c>
    </row>
    <row r="6" spans="1:6">
      <c r="A6" s="114" t="s">
        <v>33</v>
      </c>
      <c r="B6" s="3" t="s">
        <v>75</v>
      </c>
      <c r="C6" s="3" t="s">
        <v>5</v>
      </c>
      <c r="D6" s="114">
        <v>3</v>
      </c>
      <c r="E6" s="121">
        <v>0.1237</v>
      </c>
      <c r="F6" s="121">
        <v>6.7400000000000002E-2</v>
      </c>
    </row>
    <row r="7" spans="1:6">
      <c r="A7" s="114" t="s">
        <v>31</v>
      </c>
      <c r="B7" s="3" t="s">
        <v>76</v>
      </c>
      <c r="C7" s="3" t="s">
        <v>5</v>
      </c>
      <c r="D7" s="114">
        <v>2</v>
      </c>
      <c r="E7" s="121">
        <v>7.8799999999999995E-2</v>
      </c>
      <c r="F7" s="121">
        <v>6.6299999999999998E-2</v>
      </c>
    </row>
    <row r="8" spans="1:6">
      <c r="A8" s="114" t="s">
        <v>67</v>
      </c>
      <c r="B8" s="3" t="s">
        <v>77</v>
      </c>
      <c r="C8" s="3" t="s">
        <v>5</v>
      </c>
      <c r="D8" s="114">
        <v>1</v>
      </c>
      <c r="E8" s="121">
        <v>1.7399999999999999E-2</v>
      </c>
      <c r="F8" s="121">
        <v>4.3900000000000002E-2</v>
      </c>
    </row>
    <row r="9" spans="1:6">
      <c r="A9" s="114" t="s">
        <v>68</v>
      </c>
      <c r="B9" s="3" t="s">
        <v>78</v>
      </c>
      <c r="C9" s="3" t="s">
        <v>5</v>
      </c>
      <c r="D9" s="114">
        <v>1</v>
      </c>
      <c r="E9" s="121">
        <v>2.8500000000000001E-2</v>
      </c>
      <c r="F9" s="121">
        <v>4.9799999999999997E-2</v>
      </c>
    </row>
    <row r="10" spans="1:6">
      <c r="A10" s="114" t="s">
        <v>36</v>
      </c>
      <c r="B10" s="3" t="s">
        <v>79</v>
      </c>
      <c r="C10" s="3" t="s">
        <v>6</v>
      </c>
      <c r="D10" s="114">
        <v>4</v>
      </c>
      <c r="E10" s="121">
        <v>0.17100000000000001</v>
      </c>
      <c r="F10" s="121">
        <v>3.5900000000000001E-2</v>
      </c>
    </row>
    <row r="11" spans="1:6">
      <c r="A11" s="114" t="s">
        <v>38</v>
      </c>
      <c r="B11" s="3" t="s">
        <v>80</v>
      </c>
      <c r="C11" s="3" t="s">
        <v>6</v>
      </c>
      <c r="D11" s="114">
        <v>5</v>
      </c>
      <c r="E11" s="121">
        <v>0.24940000000000001</v>
      </c>
      <c r="F11" s="121">
        <v>4.3900000000000002E-2</v>
      </c>
    </row>
    <row r="12" spans="1:6">
      <c r="A12" s="114" t="s">
        <v>37</v>
      </c>
      <c r="B12" s="3" t="s">
        <v>81</v>
      </c>
      <c r="C12" s="3" t="s">
        <v>6</v>
      </c>
      <c r="D12" s="114">
        <v>5</v>
      </c>
      <c r="E12" s="121">
        <v>0.32550000000000001</v>
      </c>
      <c r="F12" s="121">
        <v>5.9200000000000003E-2</v>
      </c>
    </row>
    <row r="13" spans="1:6">
      <c r="A13" s="114" t="s">
        <v>69</v>
      </c>
      <c r="B13" s="3" t="s">
        <v>82</v>
      </c>
      <c r="C13" s="3" t="s">
        <v>6</v>
      </c>
      <c r="D13" s="114">
        <v>4</v>
      </c>
      <c r="E13" s="121">
        <v>0.15490000000000001</v>
      </c>
      <c r="F13" s="121">
        <v>2.5399999999999999E-2</v>
      </c>
    </row>
    <row r="14" spans="1:6">
      <c r="A14" s="114" t="s">
        <v>40</v>
      </c>
      <c r="B14" s="3" t="s">
        <v>83</v>
      </c>
      <c r="C14" s="3" t="s">
        <v>7</v>
      </c>
      <c r="D14" s="114">
        <v>5</v>
      </c>
      <c r="E14" s="121">
        <v>0.17180000000000001</v>
      </c>
      <c r="F14" s="121">
        <v>0.10009999999999999</v>
      </c>
    </row>
    <row r="15" spans="1:6">
      <c r="A15" s="114" t="s">
        <v>35</v>
      </c>
      <c r="B15" s="3" t="s">
        <v>84</v>
      </c>
      <c r="C15" s="3" t="s">
        <v>7</v>
      </c>
      <c r="D15" s="114">
        <v>5</v>
      </c>
      <c r="E15" s="121">
        <v>0.10489999999999999</v>
      </c>
      <c r="F15" s="121">
        <v>1.41E-2</v>
      </c>
    </row>
    <row r="16" spans="1:6">
      <c r="A16" s="114" t="s">
        <v>39</v>
      </c>
      <c r="B16" s="3" t="s">
        <v>85</v>
      </c>
      <c r="C16" s="3" t="s">
        <v>7</v>
      </c>
      <c r="D16" s="114">
        <v>5</v>
      </c>
      <c r="E16" s="121">
        <v>7.6899999999999996E-2</v>
      </c>
      <c r="F16" s="121">
        <v>1.9300000000000001E-2</v>
      </c>
    </row>
    <row r="17" spans="1:6">
      <c r="A17" s="114" t="s">
        <v>44</v>
      </c>
      <c r="B17" s="3" t="s">
        <v>86</v>
      </c>
      <c r="C17" s="3" t="s">
        <v>8</v>
      </c>
      <c r="D17" s="114">
        <v>5</v>
      </c>
      <c r="E17" s="121">
        <v>-0.10050000000000001</v>
      </c>
      <c r="F17" s="121">
        <v>3.49E-2</v>
      </c>
    </row>
    <row r="18" spans="1:6">
      <c r="A18" s="114" t="s">
        <v>70</v>
      </c>
      <c r="B18" s="3" t="s">
        <v>87</v>
      </c>
      <c r="C18" s="3" t="s">
        <v>8</v>
      </c>
      <c r="D18" s="114">
        <v>5</v>
      </c>
      <c r="E18" s="121">
        <v>0.50970000000000004</v>
      </c>
      <c r="F18" s="121">
        <v>3.2418999999999998</v>
      </c>
    </row>
    <row r="19" spans="1:6">
      <c r="A19" s="114" t="s">
        <v>45</v>
      </c>
      <c r="B19" s="3" t="s">
        <v>88</v>
      </c>
      <c r="C19" s="3" t="s">
        <v>8</v>
      </c>
      <c r="D19" s="114">
        <v>5</v>
      </c>
      <c r="E19" s="121">
        <v>0.12089999999999999</v>
      </c>
      <c r="F19" s="121">
        <v>0.72650000000000003</v>
      </c>
    </row>
    <row r="20" spans="1:6">
      <c r="A20" s="114" t="s">
        <v>71</v>
      </c>
      <c r="B20" s="3" t="s">
        <v>89</v>
      </c>
      <c r="C20" s="3" t="s">
        <v>8</v>
      </c>
      <c r="D20" s="114">
        <v>5</v>
      </c>
      <c r="E20" s="121">
        <v>-4.0300000000000002E-2</v>
      </c>
      <c r="F20" s="121">
        <v>0.28599999999999998</v>
      </c>
    </row>
    <row r="21" spans="1:6">
      <c r="A21" s="114" t="s">
        <v>42</v>
      </c>
      <c r="B21" s="3" t="s">
        <v>90</v>
      </c>
      <c r="C21" s="3" t="s">
        <v>8</v>
      </c>
      <c r="D21" s="114">
        <v>5</v>
      </c>
      <c r="E21" s="121">
        <v>-3.1099999999999999E-2</v>
      </c>
      <c r="F21" s="121">
        <v>-1.0500000000000001E-2</v>
      </c>
    </row>
    <row r="22" spans="1:6">
      <c r="A22" s="114" t="s">
        <v>43</v>
      </c>
      <c r="B22" s="3" t="s">
        <v>91</v>
      </c>
      <c r="C22" s="3" t="s">
        <v>8</v>
      </c>
      <c r="D22" s="114">
        <v>5</v>
      </c>
      <c r="E22" s="121">
        <v>0.18240000000000001</v>
      </c>
      <c r="F22" s="121">
        <v>0.58169999999999999</v>
      </c>
    </row>
    <row r="23" spans="1:6">
      <c r="A23" s="114" t="s">
        <v>41</v>
      </c>
      <c r="B23" s="3" t="s">
        <v>92</v>
      </c>
      <c r="C23" s="3" t="s">
        <v>8</v>
      </c>
      <c r="D23" s="114">
        <v>5</v>
      </c>
      <c r="E23" s="121">
        <v>1.5599999999999999E-2</v>
      </c>
      <c r="F23" s="121">
        <v>-0.73329999999999995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DE88-34B2-4D0D-A344-8D08DA6D1F0F}">
  <dimension ref="A1:E6"/>
  <sheetViews>
    <sheetView rightToLeft="1" workbookViewId="0">
      <selection activeCell="E2" sqref="E2"/>
    </sheetView>
  </sheetViews>
  <sheetFormatPr defaultRowHeight="18"/>
  <cols>
    <col min="1" max="1" width="19.5" style="113" customWidth="1"/>
    <col min="2" max="2" width="17" style="113" customWidth="1"/>
    <col min="3" max="3" width="17.375" style="113" customWidth="1"/>
    <col min="4" max="4" width="18.125" style="113" customWidth="1"/>
    <col min="5" max="5" width="15.625" style="113" customWidth="1"/>
    <col min="6" max="16384" width="9" style="113"/>
  </cols>
  <sheetData>
    <row r="1" spans="1:5" ht="30.75" customHeight="1">
      <c r="A1" s="135" t="s">
        <v>94</v>
      </c>
      <c r="B1" s="136"/>
      <c r="C1" s="136"/>
      <c r="D1" s="136"/>
      <c r="E1" s="137"/>
    </row>
    <row r="2" spans="1:5" s="133" customFormat="1" ht="37.5" customHeight="1">
      <c r="A2" s="132"/>
      <c r="B2" s="134" t="s">
        <v>95</v>
      </c>
      <c r="C2" s="134" t="s">
        <v>96</v>
      </c>
      <c r="D2" s="134" t="s">
        <v>98</v>
      </c>
      <c r="E2" s="134" t="s">
        <v>97</v>
      </c>
    </row>
    <row r="3" spans="1:5">
      <c r="A3" s="3" t="s">
        <v>99</v>
      </c>
      <c r="B3" s="121">
        <v>0.1565</v>
      </c>
      <c r="C3" s="121">
        <v>5.1400000000000001E-2</v>
      </c>
      <c r="D3" s="121">
        <v>0.1653</v>
      </c>
      <c r="E3" s="121">
        <v>0.1042</v>
      </c>
    </row>
    <row r="4" spans="1:5">
      <c r="A4" s="3" t="s">
        <v>100</v>
      </c>
      <c r="B4" s="121">
        <v>2.35E-2</v>
      </c>
      <c r="C4" s="121">
        <v>5.3100000000000001E-2</v>
      </c>
      <c r="D4" s="121">
        <v>3.2099999999999997E-2</v>
      </c>
      <c r="E4" s="121">
        <v>-3.1E-2</v>
      </c>
    </row>
    <row r="5" spans="1:5">
      <c r="A5" s="3" t="s">
        <v>101</v>
      </c>
      <c r="B5" s="121">
        <v>2.5399999999999999E-2</v>
      </c>
      <c r="C5" s="121">
        <v>6.0299999999999999E-2</v>
      </c>
      <c r="D5" s="121">
        <v>5.3499999999999999E-2</v>
      </c>
      <c r="E5" s="121">
        <v>1.2999999999999999E-2</v>
      </c>
    </row>
    <row r="6" spans="1:5">
      <c r="A6" s="3" t="s">
        <v>102</v>
      </c>
      <c r="B6" s="121">
        <v>3.2899999999999999E-2</v>
      </c>
      <c r="C6" s="121">
        <v>5.57E-2</v>
      </c>
      <c r="D6" s="121">
        <v>5.9200000000000003E-2</v>
      </c>
      <c r="E6" s="121">
        <v>5.3900000000000003E-2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3C2A-E96E-47A4-AF23-36F347AE4B89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FACB-E4C5-4B74-A872-A848B544A1AF}">
  <dimension ref="A1:F15"/>
  <sheetViews>
    <sheetView rightToLeft="1" workbookViewId="0"/>
  </sheetViews>
  <sheetFormatPr defaultRowHeight="14.25"/>
  <cols>
    <col min="1" max="1" width="20.875" bestFit="1" customWidth="1"/>
    <col min="2" max="2" width="22.625" bestFit="1" customWidth="1"/>
  </cols>
  <sheetData>
    <row r="1" spans="1:6" s="139" customFormat="1">
      <c r="A1" s="139" t="s">
        <v>103</v>
      </c>
      <c r="B1" s="139" t="s">
        <v>104</v>
      </c>
      <c r="D1" s="139" t="s">
        <v>45</v>
      </c>
      <c r="F1" s="139" t="s">
        <v>43</v>
      </c>
    </row>
    <row r="2" spans="1:6">
      <c r="A2" s="138" t="s">
        <v>105</v>
      </c>
      <c r="B2" s="138" t="s">
        <v>106</v>
      </c>
    </row>
    <row r="3" spans="1:6">
      <c r="A3" s="138" t="s">
        <v>117</v>
      </c>
      <c r="B3" s="138" t="s">
        <v>118</v>
      </c>
    </row>
    <row r="4" spans="1:6">
      <c r="A4" s="138" t="s">
        <v>119</v>
      </c>
      <c r="B4" s="138" t="s">
        <v>131</v>
      </c>
    </row>
    <row r="5" spans="1:6">
      <c r="A5" s="138" t="s">
        <v>120</v>
      </c>
      <c r="B5" s="138" t="s">
        <v>132</v>
      </c>
    </row>
    <row r="6" spans="1:6">
      <c r="A6" s="138" t="s">
        <v>107</v>
      </c>
      <c r="B6" s="138" t="s">
        <v>108</v>
      </c>
    </row>
    <row r="7" spans="1:6">
      <c r="A7" s="138" t="s">
        <v>121</v>
      </c>
      <c r="B7" s="138" t="s">
        <v>130</v>
      </c>
    </row>
    <row r="8" spans="1:6">
      <c r="A8" s="138" t="s">
        <v>122</v>
      </c>
      <c r="B8" s="138" t="s">
        <v>123</v>
      </c>
    </row>
    <row r="9" spans="1:6">
      <c r="A9" s="138" t="s">
        <v>109</v>
      </c>
      <c r="B9" s="138" t="s">
        <v>110</v>
      </c>
    </row>
    <row r="10" spans="1:6">
      <c r="A10" s="138" t="s">
        <v>111</v>
      </c>
      <c r="B10" s="138" t="s">
        <v>112</v>
      </c>
    </row>
    <row r="11" spans="1:6">
      <c r="A11" s="138" t="s">
        <v>113</v>
      </c>
      <c r="B11" s="138" t="s">
        <v>114</v>
      </c>
    </row>
    <row r="12" spans="1:6">
      <c r="A12" s="138" t="s">
        <v>115</v>
      </c>
      <c r="B12" s="138" t="s">
        <v>116</v>
      </c>
    </row>
    <row r="13" spans="1:6">
      <c r="A13" s="138" t="s">
        <v>124</v>
      </c>
      <c r="B13" s="138" t="s">
        <v>125</v>
      </c>
    </row>
    <row r="14" spans="1:6">
      <c r="A14" s="138" t="s">
        <v>126</v>
      </c>
      <c r="B14" s="138" t="s">
        <v>127</v>
      </c>
    </row>
    <row r="15" spans="1:6">
      <c r="A15" s="138" t="s">
        <v>128</v>
      </c>
      <c r="B15" s="138" t="s">
        <v>129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4 f a 1 1 e a - 9 d 4 d - 4 1 3 f - b 1 b 2 - 9 c d 8 4 1 3 9 d b f a "   x m l n s = " h t t p : / / s c h e m a s . m i c r o s o f t . c o m / D a t a M a s h u p " > A A A A A N o E A A B Q S w M E F A A C A A g A L 3 l 1 V 8 f 1 7 s G k A A A A 9 w A A A B I A H A B D b 2 5 m a W c v U G F j a 2 F n Z S 5 4 b W w g o h g A K K A U A A A A A A A A A A A A A A A A A A A A A A A A A A A A h U 8 9 D o I w G L 0 K 6 U 5 b q o M h H 2 V w l c S o M a 5 N q d A I x b T F c j c H j + Q V x C j q 5 v C G 9 5 e 8 d 7 / e I B / a J r o o 6 3 R n M p R g i i J l Z F d q U 2 W o 9 8 d 4 g X I O a y F P o l L R G D Y u H Z z O U O 3 9 O S U k h I D D D H e 2 I o z S h B y K 1 V b W q h W x N s 4 L I x X 6 t M r / L c R h / x r D G U 7 Y i G T O M A U y q V B o 8 0 2 w c f D T / R F h 2 T e + t 4 p 7 G + 8 2 Q C Y K 5 H 2 C P w B Q S w M E F A A C A A g A L 3 l 1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9 5 d V e Y L P L o 1 A E A A J Q E A A A T A B w A R m 9 y b X V s Y X M v U 2 V j d G l v b j E u b S C i G A A o o B Q A A A A A A A A A A A A A A A A A A A A A A A A A A A D F U 0 1 r 2 0 A Q v R v 8 H 4 Y N F B l U 2 Q o 9 N Z g S H H o r L b W h h 5 D D W t 7 E o v a u u 7 u m D c b Q t H E c f O m P K E W p o Q T H 5 O D + k t l r f 0 l H U o x t y A e l h U p C s 5 o Z 5 r 1 9 T 2 t E Z G M l o Z 7 H c K d Y K B Z M m 2 v R g i 3 W 4 M 2 O g A q D K n S E L R a A r i 3 2 6 + M X e j B x p 2 6 E 1 3 i J s 7 T h j W g G r / i R 8 N J F T U k r p D U e a 1 v b M 0 / L 5 f 7 b 4 D C W X E Y i O O Z t p Y J I d c v v + s q K 8 o v 6 8 8 a z X j U N j 6 z R U Z U a H 1 N s s 1 L J z 0 H 3 u O U V A r k V f F A Z 7 q c N B / 6 S Y V Y + c + e 4 g J v O K f 5 0 k 5 x o t q m g o b k 0 h 0 p 3 a 6 r T 7 8 r G c U 8 Y L 4 P x B w O W J 0 P m g 6 U C W P H B D n 1 Y 5 r c 3 8 s N S s R D L h 6 E z a f d h T 5 h I x 7 1 M 9 S o w n O M C Z 4 B z N 3 Y j o P b E T d x n n N G E u T t 3 J z i F V B g G B 2 u + 4 A V N T N w Z J l R O Y f B r N i f J d / j / v Q r v 9 C r 8 l 1 6 F f + 7 V G i 5 J N s U F i Z d k y t P i h / u 0 Q q 2 p b j O W w h v c x 9 F f O y U b w 2 n a t T t J H c w N u s B L M v Y U v + e f U z c B e o 1 S / 7 7 h 1 U 1 u v E L f 7 V i h J b f i t X p v v L v p + t t 0 h 0 / u g 1 5 i A f 1 N M 7 x y Y 0 x W O H W l r f c X h D c d e K l b Q g e 7 J h K y F c u j W 8 7 G w 9 R 2 f g N Q S w E C L Q A U A A I A C A A v e X V X x / X u w a Q A A A D 3 A A A A E g A A A A A A A A A A A A A A A A A A A A A A Q 2 9 u Z m l n L 1 B h Y 2 t h Z 2 U u e G 1 s U E s B A i 0 A F A A C A A g A L 3 l 1 V w / K 6 a u k A A A A 6 Q A A A B M A A A A A A A A A A A A A A A A A 8 A A A A F t D b 2 5 0 Z W 5 0 X 1 R 5 c G V z X S 5 4 b W x Q S w E C L Q A U A A I A C A A v e X V X m C z y 6 N Q B A A C U B A A A E w A A A A A A A A A A A A A A A A D h A Q A A R m 9 y b X V s Y X M v U 2 V j d G l v b j E u b V B L B Q Y A A A A A A w A D A M I A A A A C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2 F w A A A A A A A N Q X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Y q t m G 2 Y L Z h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E x L T I x V D E x O j U 3 O j I x L j g z M j Q 3 N j B a I i A v P j x F b n R y e S B U e X B l P S J G a W x s Q 2 9 s d W 1 u V H l w Z X M i I F Z h b H V l P S J z Q m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i n 2 Y T Z h t m I 2 L k g 2 K f Z h N m F 2 K r Y u t m K 2 L E u e 0 N v b H V t b j E s M H 0 m c X V v d D s s J n F 1 b 3 Q 7 U 2 V j d G l v b j E v V G F i b G U g M C / Y p 9 m E 2 Y b Z i N i 5 I N i n 2 Y T Z h d i q 2 L r Z i t i x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I D A v 2 K f Z h N m G 2 Y j Y u S D Y p 9 m E 2 Y X Y q t i 6 2 Y r Y s S 5 7 Q 2 9 s d W 1 u M S w w f S Z x d W 9 0 O y w m c X V v d D t T Z W N 0 a W 9 u M S 9 U Y W J s Z S A w L 9 i n 2 Y T Z h t m I 2 L k g 2 K f Z h N m F 2 K r Y u t m K 2 L E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T I l O D A l O E Y l R T I l O D A l O E Y l R D g l Q T c l R D k l O D Q l R D k l O D U l R D g l Q j U l R D g l Q U Y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4 J U E 3 J U Q 5 J T g 0 J U Q 5 J T g 2 J U Q 5 J T g 4 J U Q 4 J U I 5 J T I w J U Q 4 J U E 3 J U Q 5 J T g 0 J U Q 5 J T g 1 J U Q 4 J U F B J U Q 4 J U J B J U Q 5 J T h B J U Q 4 J U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4 J U Q 5 J T h B J U Q 4 J U E 3 J U Q 5 J T g 2 J U Q 4 J U E 3 J U Q 4 J U F B J T I w J U Q 4 J U E 3 J U Q 5 J T g 0 J U Q 4 J U E z J U Q 4 J U I z J U Q 4 J U I 5 J U Q 4 J U E 3 J U Q 4 J U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Y q t m G 2 Y L Z h C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E t M j F U M T I 6 M D k 6 M j E u M j E x N j g 3 N 1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i o 2 Y r Y p 9 m G 2 K f Y q i D Y p 9 m E 2 K P Y s 9 i 5 2 K f Y s S / Y p 9 m E 2 L X Z g d m I 2 Y E g 2 K f Z h N i o 2 K / Z i t m E 2 K k g 2 K f Z h N i q 2 Y o g 2 K r Z h d i q I N i l 2 L L Y p 9 m E 2 K r Z h y 5 7 Q 2 9 s d W 1 u M S w w f S Z x d W 9 0 O y w m c X V v d D t T Z W N 0 a W 9 u M S / Y q N m K 2 K f Z h t i n 2 K o g 2 K f Z h N i j 2 L P Y u d i n 2 L E v 2 K f Z h N i 1 2 Y H Z i N m B I N i n 2 Y T Y q N i v 2 Y r Z h N i p I N i n 2 Y T Y q t m K I N i q 2 Y X Y q i D Y p d i y 2 K f Z h N i q 2 Y c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2 K j Z i t i n 2 Y b Y p 9 i q I N i n 2 Y T Y o 9 i z 2 L n Y p 9 i x L 9 i n 2 Y T Y t d m B 2 Y j Z g S D Y p 9 m E 2 K j Y r 9 m K 2 Y T Y q S D Y p 9 m E 2 K r Z i i D Y q t m F 2 K o g 2 K X Y s t i n 2 Y T Y q t m H L n t D b 2 x 1 b W 4 x L D B 9 J n F 1 b 3 Q 7 L C Z x d W 9 0 O 1 N l Y 3 R p b 2 4 x L 9 i o 2 Y r Y p 9 m G 2 K f Y q i D Y p 9 m E 2 K P Y s 9 i 5 2 K f Y s S / Y p 9 m E 2 L X Z g d m I 2 Y E g 2 K f Z h N i o 2 K / Z i t m E 2 K k g 2 K f Z h N i q 2 Y o g 2 K r Z h d i q I N i l 2 L L Y p 9 m E 2 K r Z h y 5 7 Q 2 9 s d W 1 u M i w x f S Z x d W 9 0 O 1 0 s J n F 1 b 3 Q 7 U m V s Y X R p b 2 5 z a G l w S W 5 m b y Z x d W 9 0 O z p b X X 0 i I C 8 + P E V u d H J 5 I F R 5 c G U 9 I k Z p b G x U Y X J n Z X Q i I F Z h b H V l P S J z 2 K j Z i t i n 2 Y b Y p 9 i q X 9 i n 2 Y T Y o 9 i z 2 L n Y p 9 i x X z E i I C 8 + P E V u d H J 5 I F R 5 c G U 9 I k Z p b G x l Z E N v b X B s Z X R l U m V z d W x 0 V G 9 X b 3 J r c 2 h l Z X Q i I F Z h b H V l P S J s M S I g L z 4 8 R W 5 0 c n k g V H l w Z T 0 i U X V l c n l J R C I g V m F s d W U 9 I n N m Y j h i Z T d m Y S 1 i O D E 0 L T R k M T M t Y W I y N y 0 1 Z G J h N G Y z N m F l N 2 I i I C 8 + P C 9 T d G F i b G V F b n R y a W V z P j w v S X R l b T 4 8 S X R l b T 4 8 S X R l b U x v Y 2 F 0 a W 9 u P j x J d G V t V H l w Z T 5 G b 3 J t d W x h P C 9 J d G V t V H l w Z T 4 8 S X R l b V B h d G g + U 2 V j d G l v b j E v J U Q 4 J U E 4 J U Q 5 J T h B J U Q 4 J U E 3 J U Q 5 J T g 2 J U Q 4 J U E 3 J U Q 4 J U F B J T I w J U Q 4 J U E 3 J U Q 5 J T g 0 J U Q 4 J U E z J U Q 4 J U I z J U Q 4 J U I 5 J U Q 4 J U E 3 J U Q 4 J U I x L y V F M i U 4 M C U 4 R i V F M i U 4 M C U 4 R i V E O C V B N y V E O S U 4 N C V E O S U 4 N S V E O C V C N S V E O C V B R i V E O C V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O C V E O S U 4 Q S V E O C V B N y V E O S U 4 N i V E O C V B N y V E O C V B Q S U y M C V E O C V B N y V E O S U 4 N C V E O C V B M y V E O C V C M y V E O C V C O S V E O C V B N y V E O C V C M S 9 E Y X R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O C V E O S U 4 Q S V E O C V B N y V E O S U 4 N i V E O C V B N y V E O C V B Q S U y M C V E O C V B N y V E O S U 4 N C V E O C V B M y V E O C V C M y V E O C V C O S V E O C V B N y V E O C V C M S 8 l R D g l Q T c l R D k l O D Q l R D k l O D Y l R D k l O D g l R D g l Q j k l M j A l R D g l Q T c l R D k l O D Q l R D k l O D U l R D g l Q U E l R D g l Q k E l R D k l O E E l R D g l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T g l R D k l O E E l R D g l Q T c l R D k l O D Y l R D g l Q T c l R D g l Q U E l M j A l R D g l Q T c l R D k l O D Q l R D g l Q T M l R D g l Q j M l R D g l Q j k l R D g l Q T c l R D g l Q j E v J U Q 4 J U E 3 J U Q 4 J U I z J U Q 4 J U F B J U Q 4 J U I 5 J U Q 5 J T g 0 J U Q 4 J U E 3 J U Q 5 J T g 1 J T I w J U Q 5 J T g 1 J U Q 5 J T g 0 J U Q 4 J U F E J U Q 5 J T g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E 4 J U Q 5 J T h B J U Q 4 J U E 3 J U Q 5 J T g 2 J U Q 4 J U E 3 J U Q 4 J U F B J T I w J U Q 4 J U E 3 J U Q 5 J T g 0 J U Q 4 J U E z J U Q 4 J U I z J U Q 4 J U I 5 J U Q 4 J U E 3 J U Q 4 J U I x L y V E O C V B N y V E O S U 4 N C V E O C V C N S V E O S U 4 M S V E O S U 4 O C V E O S U 4 M S U y M C V E O C V B N y V E O S U 4 N C V E O C V B O C V E O C V B R i V E O S U 4 Q S V E O S U 4 N C V E O C V B O S U y M C V E O C V B N y V E O S U 4 N C V E O C V B Q S V E O S U 4 Q S U y M C V E O C V B Q S V E O S U 4 N S V E O C V B Q S U y M C V E O C V B N S V E O C V C M i V E O C V B N y V E O S U 4 N C V E O C V B Q S V E O S U 4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O C V E O S U 4 Q S V E O C V B N y V E O S U 4 N i V E O C V B N y V E O C V B Q S U y M C V E O C V B N y V E O S U 4 N C V E O C V B M y V E O C V C M y V E O C V C O S V E O C V B N y V E O C V C M S 8 l R D g l Q T c l R D k l O D Q l R D g l Q j U l R D k l O D E l R D k l O D g l R D k l O D E l M j A l R D g l Q T c l R D k l O D Q l R D g l Q U E l R D k l O E E l M j A l R D g l Q U E l R D k l O D U l M j A l R D k l O D E l R D g l Q j E l R D g l Q j I l R D k l O D c l R D g l Q T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s 2 7 T Z J x M E G k n 5 i 3 I B m u H Q A A A A A C A A A A A A A Q Z g A A A A E A A C A A A A A o x R B i t z M 3 O 5 2 / z 3 t w n k q S y R M 2 l 0 K I Z F n n g D 1 g k Z m 0 T w A A A A A O g A A A A A I A A C A A A A D R e b L H 9 Q 9 f 3 O 0 E A Z X u K 0 5 u 4 a r b k z y A d J p Y Z G 3 j j i H k g 1 A A A A D 6 4 W 4 u t Y r U Y M F h l o 5 n C y 5 q K Z 8 3 O G n R j z 5 l 2 M 0 V 6 d m s / P A j k X a z q T u X + L p C p q e / l 7 + 9 E 3 + + I R W v U 3 8 A I J j D g + + u w e 8 Z E t T b 1 Y t j O c C M N g o y Q U A A A A A G u F 1 q i t 9 g W m 1 f i / c t p c b P e Z R 7 Q q o r T T 2 2 N X V 5 m h g E S B J g r Q 3 + c 9 + F X V s 2 5 Y N d J i 9 L d P M O k O d I O w N C G Q w U A 4 k x < / D a t a M a s h u p > 
</file>

<file path=customXml/itemProps1.xml><?xml version="1.0" encoding="utf-8"?>
<ds:datastoreItem xmlns:ds="http://schemas.openxmlformats.org/officeDocument/2006/customXml" ds:itemID="{A590D543-34D4-416F-B4A3-A27C34E21AD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ملخص الملف الإستثماري</vt:lpstr>
      <vt:lpstr>تفاصيل المحفظة الاستثمارية</vt:lpstr>
      <vt:lpstr>قائمة الاستثمارات</vt:lpstr>
      <vt:lpstr>المقارنة المعيارية</vt:lpstr>
      <vt:lpstr>الزيادة السنوية</vt:lpstr>
      <vt:lpstr>بيانات الأسعار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Abo_Salah</dc:creator>
  <cp:lastModifiedBy>Wael Abo_Salah</cp:lastModifiedBy>
  <dcterms:created xsi:type="dcterms:W3CDTF">2023-11-19T15:51:05Z</dcterms:created>
  <dcterms:modified xsi:type="dcterms:W3CDTF">2023-11-21T12:10:13Z</dcterms:modified>
</cp:coreProperties>
</file>