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el-\Desktop\مشاريع أكسل\م3 519293\مقال 2\‏‏الصور - نسخة علا\"/>
    </mc:Choice>
  </mc:AlternateContent>
  <xr:revisionPtr revIDLastSave="0" documentId="13_ncr:1_{A70E14CB-E058-44E6-B886-FF68F612AB58}" xr6:coauthVersionLast="47" xr6:coauthVersionMax="47" xr10:uidLastSave="{00000000-0000-0000-0000-000000000000}"/>
  <bookViews>
    <workbookView xWindow="-120" yWindow="-120" windowWidth="20730" windowHeight="11160" xr2:uid="{EE58A477-46B3-45F7-9002-65AAF6690CBC}"/>
  </bookViews>
  <sheets>
    <sheet name="ملخص الملف الإستثماري" sheetId="1" r:id="rId1"/>
    <sheet name="تفاصيل المحفظة الاستثمارية" sheetId="2" r:id="rId2"/>
    <sheet name="قائمة الاستثمارات" sheetId="3" r:id="rId3"/>
    <sheet name="المقارنة المعيارية" sheetId="4" r:id="rId4"/>
    <sheet name="الزيادة السنوية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3" i="1"/>
  <c r="F14" i="1"/>
  <c r="F15" i="1"/>
  <c r="F11" i="1"/>
  <c r="E15" i="1"/>
  <c r="E12" i="1"/>
  <c r="E13" i="1"/>
  <c r="E14" i="1"/>
  <c r="E11" i="1"/>
  <c r="D15" i="1"/>
  <c r="D12" i="1"/>
  <c r="D13" i="1"/>
  <c r="D14" i="1"/>
  <c r="D11" i="1"/>
  <c r="C15" i="1"/>
  <c r="C12" i="1"/>
  <c r="C13" i="1"/>
  <c r="C14" i="1"/>
  <c r="C11" i="1"/>
  <c r="B15" i="1"/>
  <c r="B12" i="1"/>
  <c r="B13" i="1"/>
  <c r="B14" i="1"/>
  <c r="B11" i="1"/>
  <c r="F8" i="1"/>
  <c r="F5" i="1"/>
  <c r="F6" i="1"/>
  <c r="F7" i="1"/>
  <c r="F4" i="1"/>
  <c r="E5" i="1"/>
  <c r="E6" i="1"/>
  <c r="E7" i="1"/>
  <c r="E4" i="1"/>
  <c r="D8" i="1"/>
  <c r="D5" i="1"/>
  <c r="D6" i="1"/>
  <c r="D7" i="1"/>
  <c r="D4" i="1"/>
  <c r="C5" i="1"/>
  <c r="C6" i="1"/>
  <c r="C7" i="1"/>
  <c r="C4" i="1"/>
  <c r="B4" i="1"/>
  <c r="B5" i="1"/>
  <c r="B6" i="1"/>
  <c r="B7" i="1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4" i="2"/>
  <c r="X5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X4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4" i="2"/>
  <c r="V4" i="2"/>
  <c r="V7" i="2"/>
  <c r="V19" i="2"/>
  <c r="V5" i="2"/>
  <c r="V6" i="2"/>
  <c r="V8" i="2"/>
  <c r="V9" i="2"/>
  <c r="V10" i="2"/>
  <c r="V11" i="2"/>
  <c r="V12" i="2"/>
  <c r="V13" i="2"/>
  <c r="V14" i="2"/>
  <c r="V15" i="2"/>
  <c r="V16" i="2"/>
  <c r="V17" i="2"/>
  <c r="V18" i="2"/>
  <c r="S19" i="2"/>
  <c r="L4" i="2"/>
  <c r="J4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Q19" i="2"/>
  <c r="K8" i="2"/>
  <c r="K9" i="2"/>
  <c r="K10" i="2"/>
  <c r="K19" i="2" s="1"/>
  <c r="L6" i="2" s="1"/>
  <c r="N6" i="2" s="1"/>
  <c r="K11" i="2"/>
  <c r="K12" i="2"/>
  <c r="K13" i="2"/>
  <c r="K14" i="2"/>
  <c r="K15" i="2"/>
  <c r="K16" i="2"/>
  <c r="K17" i="2"/>
  <c r="K18" i="2"/>
  <c r="J5" i="2"/>
  <c r="G19" i="2"/>
  <c r="E19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4" i="2"/>
  <c r="E8" i="1" l="1"/>
  <c r="B8" i="1"/>
  <c r="L9" i="2"/>
  <c r="N9" i="2" s="1"/>
  <c r="L17" i="2"/>
  <c r="N17" i="2" s="1"/>
  <c r="L13" i="2"/>
  <c r="N13" i="2" s="1"/>
  <c r="L16" i="2"/>
  <c r="N16" i="2" s="1"/>
  <c r="L12" i="2"/>
  <c r="N12" i="2" s="1"/>
  <c r="L8" i="2"/>
  <c r="N8" i="2" s="1"/>
  <c r="L5" i="2"/>
  <c r="N5" i="2" s="1"/>
  <c r="N4" i="2"/>
  <c r="L15" i="2"/>
  <c r="N15" i="2" s="1"/>
  <c r="L11" i="2"/>
  <c r="N11" i="2" s="1"/>
  <c r="L7" i="2"/>
  <c r="N7" i="2" s="1"/>
  <c r="L18" i="2"/>
  <c r="N18" i="2" s="1"/>
  <c r="L14" i="2"/>
  <c r="N14" i="2" s="1"/>
  <c r="L10" i="2"/>
  <c r="N10" i="2" s="1"/>
</calcChain>
</file>

<file path=xl/sharedStrings.xml><?xml version="1.0" encoding="utf-8"?>
<sst xmlns="http://schemas.openxmlformats.org/spreadsheetml/2006/main" count="89" uniqueCount="62">
  <si>
    <t>ملخص الملف الإستثماري الشخصي</t>
  </si>
  <si>
    <t>إجمالي الملخص</t>
  </si>
  <si>
    <t>إجمالي تكلفة الشراء</t>
  </si>
  <si>
    <t>القيمة الحالية</t>
  </si>
  <si>
    <t>الزيادة السنوية</t>
  </si>
  <si>
    <t>صندوق السندات</t>
  </si>
  <si>
    <t>صندوق الأسهم المحلية</t>
  </si>
  <si>
    <t>صندوق الأسهم الدولية</t>
  </si>
  <si>
    <t>الأسهم الفردية</t>
  </si>
  <si>
    <t>الإجمالي</t>
  </si>
  <si>
    <t>المقاربة المعيارية للنمو في خمس سنوات</t>
  </si>
  <si>
    <t>المقارنة المعيارية</t>
  </si>
  <si>
    <t>الاستثمارات ذات الأداء الضعيف</t>
  </si>
  <si>
    <t>عدد الاستثمارات</t>
  </si>
  <si>
    <t>متوسط أشهر الاستثمارات</t>
  </si>
  <si>
    <r>
      <rPr>
        <sz val="12"/>
        <color theme="1"/>
        <rFont val="Noto Sans Arabic Full"/>
        <family val="3"/>
      </rPr>
      <t>أسهم بنك باركليز</t>
    </r>
    <r>
      <rPr>
        <sz val="12"/>
        <color theme="1"/>
        <rFont val="Noto Sans"/>
        <charset val="162"/>
      </rPr>
      <t xml:space="preserve"> Barclays</t>
    </r>
  </si>
  <si>
    <r>
      <rPr>
        <sz val="12"/>
        <color theme="1"/>
        <rFont val="Noto Sans Arabic Full"/>
        <family val="3"/>
      </rPr>
      <t>مؤشر ستاندرد آند بورز</t>
    </r>
    <r>
      <rPr>
        <sz val="12"/>
        <color theme="1"/>
        <rFont val="Noto Sans"/>
        <charset val="162"/>
      </rPr>
      <t xml:space="preserve"> S$P 500</t>
    </r>
  </si>
  <si>
    <r>
      <rPr>
        <sz val="12"/>
        <color theme="1"/>
        <rFont val="Noto Sans Arabic Full"/>
        <family val="3"/>
      </rPr>
      <t>أسهم</t>
    </r>
    <r>
      <rPr>
        <sz val="12"/>
        <color theme="1"/>
        <rFont val="Noto Sans"/>
        <charset val="162"/>
      </rPr>
      <t xml:space="preserve"> MSCI EAFE</t>
    </r>
  </si>
  <si>
    <r>
      <rPr>
        <sz val="12"/>
        <color theme="1"/>
        <rFont val="Noto Sans Arabic Full"/>
        <family val="3"/>
      </rPr>
      <t>مؤشر داو جونز الصناعي</t>
    </r>
    <r>
      <rPr>
        <sz val="12"/>
        <color theme="1"/>
        <rFont val="Noto Sans"/>
        <charset val="162"/>
      </rPr>
      <t xml:space="preserve"> Dow Jones</t>
    </r>
  </si>
  <si>
    <t>ملف الاستثمار الشخصي</t>
  </si>
  <si>
    <t>عملية الشراء</t>
  </si>
  <si>
    <t>المعلومات الوصفية</t>
  </si>
  <si>
    <t>نوع الاستثمار</t>
  </si>
  <si>
    <t>الرمز</t>
  </si>
  <si>
    <t>الوصف</t>
  </si>
  <si>
    <t>الأرباح/العوائد</t>
  </si>
  <si>
    <t>الأسهم المشتراة</t>
  </si>
  <si>
    <t>تكلفة الشراء</t>
  </si>
  <si>
    <t>السعر الحالي</t>
  </si>
  <si>
    <t>قيمة الشراء الحالية</t>
  </si>
  <si>
    <t>شعر الشراء للسهم الواحد</t>
  </si>
  <si>
    <t>VFICX</t>
  </si>
  <si>
    <t>VFSTX</t>
  </si>
  <si>
    <t>VWEHX</t>
  </si>
  <si>
    <t>VUSTX</t>
  </si>
  <si>
    <t>VDMIX</t>
  </si>
  <si>
    <t>VEIPX</t>
  </si>
  <si>
    <t>VISGX</t>
  </si>
  <si>
    <t>VIMSX</t>
  </si>
  <si>
    <t>VTRIX</t>
  </si>
  <si>
    <t>VEIEX</t>
  </si>
  <si>
    <t>TV</t>
  </si>
  <si>
    <t>JNJ</t>
  </si>
  <si>
    <t>KO</t>
  </si>
  <si>
    <t>MSFT</t>
  </si>
  <si>
    <t>IBM</t>
  </si>
  <si>
    <t>دفعات الأرباح  المقدرة</t>
  </si>
  <si>
    <t>قيمة الاستثمار الحالية</t>
  </si>
  <si>
    <t>النسبة المئوية الحالية للملف الاستثماري</t>
  </si>
  <si>
    <t>النسبة المئوية المستهدفة للملف الاستثماري</t>
  </si>
  <si>
    <t>النسبة المئوية للملف الاستثماري</t>
  </si>
  <si>
    <t>القيمة الحالية مقابل القيمة المستهدفة</t>
  </si>
  <si>
    <t>مؤشر التوازن</t>
  </si>
  <si>
    <t>مؤشر البيع أو الشراء</t>
  </si>
  <si>
    <t>مؤشر طول أو قصر مدة</t>
  </si>
  <si>
    <t>أشهر الاستثمار</t>
  </si>
  <si>
    <t>المكاسب أو الخسائر الغير محققة</t>
  </si>
  <si>
    <t>المعدل الحقيقي للنمو السنوي</t>
  </si>
  <si>
    <t>معدل النمو الحقيقي مقابل المعدل المستهدف</t>
  </si>
  <si>
    <t>مؤشر الأداء</t>
  </si>
  <si>
    <t>النسبة المئوية للربح أو الخسارة</t>
  </si>
  <si>
    <t>معدل النمو السنوي المستهدف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</si>
</sst>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-409]#,##0.00"/>
    <numFmt numFmtId="165" formatCode="[$$-409]#,##0"/>
    <numFmt numFmtId="166" formatCode="0.0%"/>
  </numFmts>
  <fonts count="12">
    <font>
      <sz val="11"/>
      <color theme="1"/>
      <name val="Arial"/>
      <family val="2"/>
      <charset val="162"/>
      <scheme val="minor"/>
    </font>
    <font>
      <b/>
      <sz val="11"/>
      <color theme="1"/>
      <name val="Arial"/>
      <family val="2"/>
      <charset val="162"/>
      <scheme val="minor"/>
    </font>
    <font>
      <sz val="12"/>
      <color theme="1"/>
      <name val="Noto Sans Arabic Full"/>
      <family val="3"/>
    </font>
    <font>
      <sz val="12"/>
      <color theme="1"/>
      <name val="Noto Sans"/>
      <charset val="162"/>
    </font>
    <font>
      <b/>
      <sz val="12"/>
      <color theme="1"/>
      <name val="Noto Sans Arabic Full"/>
      <family val="3"/>
    </font>
    <font>
      <sz val="12"/>
      <name val="Noto Sans Arabic Full"/>
      <family val="3"/>
    </font>
    <font>
      <b/>
      <sz val="12"/>
      <color theme="1"/>
      <name val="Noto Sans Arabic Full"/>
      <family val="3"/>
      <charset val="162"/>
    </font>
    <font>
      <b/>
      <sz val="12"/>
      <color theme="1"/>
      <name val="Noto Sans"/>
      <charset val="162"/>
    </font>
    <font>
      <sz val="12"/>
      <color theme="1"/>
      <name val="Noto Sans"/>
      <family val="3"/>
      <charset val="162"/>
    </font>
    <font>
      <b/>
      <sz val="16"/>
      <color theme="1"/>
      <name val="Noto Sans"/>
      <charset val="162"/>
    </font>
    <font>
      <sz val="11"/>
      <color theme="1"/>
      <name val="Noto Sans Arabic Full"/>
      <family val="3"/>
    </font>
    <font>
      <b/>
      <sz val="12"/>
      <color theme="1"/>
      <name val="Noto Sans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/>
    <xf numFmtId="165" fontId="5" fillId="0" borderId="1" xfId="0" applyNumberFormat="1" applyFont="1" applyBorder="1" applyAlignment="1">
      <alignment horizontal="center" vertical="center" wrapText="1" shrinkToFit="1"/>
    </xf>
    <xf numFmtId="165" fontId="3" fillId="0" borderId="1" xfId="0" applyNumberFormat="1" applyFont="1" applyBorder="1"/>
    <xf numFmtId="165" fontId="3" fillId="0" borderId="0" xfId="0" applyNumberFormat="1" applyFont="1"/>
    <xf numFmtId="166" fontId="5" fillId="0" borderId="1" xfId="0" applyNumberFormat="1" applyFont="1" applyBorder="1" applyAlignment="1">
      <alignment horizontal="center" vertical="center" wrapText="1" shrinkToFit="1"/>
    </xf>
    <xf numFmtId="166" fontId="3" fillId="0" borderId="1" xfId="0" applyNumberFormat="1" applyFont="1" applyBorder="1"/>
    <xf numFmtId="166" fontId="3" fillId="0" borderId="0" xfId="0" applyNumberFormat="1" applyFont="1"/>
    <xf numFmtId="166" fontId="2" fillId="0" borderId="1" xfId="0" applyNumberFormat="1" applyFont="1" applyBorder="1" applyAlignment="1">
      <alignment horizontal="center" vertical="center" wrapText="1" shrinkToFit="1"/>
    </xf>
    <xf numFmtId="166" fontId="3" fillId="0" borderId="0" xfId="0" applyNumberFormat="1" applyFont="1" applyAlignment="1">
      <alignment horizontal="center" vertical="center"/>
    </xf>
    <xf numFmtId="0" fontId="6" fillId="0" borderId="1" xfId="0" applyFont="1" applyBorder="1"/>
    <xf numFmtId="0" fontId="7" fillId="0" borderId="1" xfId="0" applyFont="1" applyBorder="1"/>
    <xf numFmtId="165" fontId="7" fillId="0" borderId="1" xfId="0" applyNumberFormat="1" applyFont="1" applyBorder="1"/>
    <xf numFmtId="0" fontId="8" fillId="0" borderId="1" xfId="0" applyFont="1" applyBorder="1"/>
    <xf numFmtId="0" fontId="1" fillId="0" borderId="0" xfId="0" applyFont="1"/>
    <xf numFmtId="0" fontId="2" fillId="0" borderId="2" xfId="0" applyFont="1" applyBorder="1"/>
    <xf numFmtId="0" fontId="3" fillId="0" borderId="4" xfId="0" applyFont="1" applyBorder="1"/>
    <xf numFmtId="0" fontId="3" fillId="0" borderId="3" xfId="0" applyFont="1" applyBorder="1"/>
    <xf numFmtId="0" fontId="3" fillId="0" borderId="5" xfId="0" applyFont="1" applyBorder="1"/>
    <xf numFmtId="10" fontId="3" fillId="0" borderId="3" xfId="0" applyNumberFormat="1" applyFont="1" applyBorder="1"/>
    <xf numFmtId="10" fontId="3" fillId="0" borderId="5" xfId="0" applyNumberFormat="1" applyFont="1" applyBorder="1"/>
    <xf numFmtId="10" fontId="3" fillId="0" borderId="4" xfId="0" applyNumberFormat="1" applyFont="1" applyBorder="1"/>
    <xf numFmtId="10" fontId="3" fillId="0" borderId="1" xfId="0" applyNumberFormat="1" applyFont="1" applyBorder="1"/>
    <xf numFmtId="10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right"/>
    </xf>
    <xf numFmtId="164" fontId="9" fillId="5" borderId="6" xfId="0" applyNumberFormat="1" applyFont="1" applyFill="1" applyBorder="1" applyAlignment="1">
      <alignment horizontal="center" vertical="center"/>
    </xf>
    <xf numFmtId="164" fontId="9" fillId="5" borderId="0" xfId="0" applyNumberFormat="1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164" fontId="2" fillId="0" borderId="4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/>
    <xf numFmtId="165" fontId="3" fillId="0" borderId="3" xfId="0" applyNumberFormat="1" applyFont="1" applyBorder="1"/>
    <xf numFmtId="165" fontId="0" fillId="0" borderId="0" xfId="0" applyNumberFormat="1"/>
    <xf numFmtId="164" fontId="3" fillId="0" borderId="10" xfId="0" applyNumberFormat="1" applyFont="1" applyBorder="1"/>
    <xf numFmtId="164" fontId="3" fillId="0" borderId="6" xfId="0" applyNumberFormat="1" applyFont="1" applyBorder="1"/>
    <xf numFmtId="164" fontId="3" fillId="0" borderId="7" xfId="0" applyNumberFormat="1" applyFont="1" applyBorder="1"/>
    <xf numFmtId="164" fontId="3" fillId="0" borderId="11" xfId="0" applyNumberFormat="1" applyFont="1" applyBorder="1"/>
    <xf numFmtId="164" fontId="3" fillId="0" borderId="12" xfId="0" applyNumberFormat="1" applyFont="1" applyBorder="1"/>
    <xf numFmtId="164" fontId="3" fillId="0" borderId="9" xfId="0" applyNumberFormat="1" applyFont="1" applyBorder="1"/>
    <xf numFmtId="165" fontId="2" fillId="0" borderId="3" xfId="0" applyNumberFormat="1" applyFont="1" applyBorder="1" applyAlignment="1">
      <alignment horizontal="center" vertical="center" wrapText="1"/>
    </xf>
    <xf numFmtId="165" fontId="3" fillId="0" borderId="4" xfId="0" applyNumberFormat="1" applyFont="1" applyBorder="1"/>
    <xf numFmtId="165" fontId="3" fillId="0" borderId="5" xfId="0" applyNumberFormat="1" applyFont="1" applyBorder="1"/>
    <xf numFmtId="165" fontId="0" fillId="0" borderId="3" xfId="0" applyNumberFormat="1" applyBorder="1"/>
    <xf numFmtId="0" fontId="0" fillId="0" borderId="11" xfId="0" applyBorder="1"/>
    <xf numFmtId="0" fontId="0" fillId="0" borderId="12" xfId="0" applyBorder="1"/>
    <xf numFmtId="0" fontId="10" fillId="0" borderId="3" xfId="0" applyFont="1" applyBorder="1" applyAlignment="1">
      <alignment horizontal="center" vertical="center" wrapText="1"/>
    </xf>
    <xf numFmtId="165" fontId="0" fillId="0" borderId="0" xfId="0" applyNumberFormat="1" applyBorder="1"/>
    <xf numFmtId="165" fontId="0" fillId="0" borderId="5" xfId="0" applyNumberFormat="1" applyBorder="1"/>
    <xf numFmtId="165" fontId="0" fillId="0" borderId="4" xfId="0" applyNumberFormat="1" applyBorder="1"/>
    <xf numFmtId="165" fontId="2" fillId="0" borderId="4" xfId="0" applyNumberFormat="1" applyFont="1" applyBorder="1" applyAlignment="1">
      <alignment horizontal="center" vertical="center" wrapText="1"/>
    </xf>
    <xf numFmtId="165" fontId="3" fillId="0" borderId="10" xfId="0" applyNumberFormat="1" applyFont="1" applyBorder="1"/>
    <xf numFmtId="165" fontId="3" fillId="0" borderId="6" xfId="0" applyNumberFormat="1" applyFont="1" applyBorder="1"/>
    <xf numFmtId="165" fontId="3" fillId="0" borderId="7" xfId="0" applyNumberFormat="1" applyFont="1" applyBorder="1"/>
    <xf numFmtId="165" fontId="10" fillId="0" borderId="1" xfId="0" applyNumberFormat="1" applyFont="1" applyBorder="1" applyAlignment="1">
      <alignment horizontal="center" vertical="center" wrapText="1"/>
    </xf>
    <xf numFmtId="165" fontId="0" fillId="0" borderId="11" xfId="0" applyNumberFormat="1" applyBorder="1"/>
    <xf numFmtId="165" fontId="0" fillId="0" borderId="12" xfId="0" applyNumberFormat="1" applyBorder="1"/>
    <xf numFmtId="165" fontId="0" fillId="0" borderId="1" xfId="0" applyNumberFormat="1" applyBorder="1"/>
    <xf numFmtId="165" fontId="10" fillId="0" borderId="3" xfId="0" applyNumberFormat="1" applyFont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center" vertical="center" wrapText="1"/>
    </xf>
    <xf numFmtId="166" fontId="0" fillId="0" borderId="1" xfId="0" applyNumberFormat="1" applyBorder="1"/>
    <xf numFmtId="166" fontId="0" fillId="0" borderId="0" xfId="0" applyNumberFormat="1"/>
    <xf numFmtId="166" fontId="10" fillId="0" borderId="3" xfId="0" applyNumberFormat="1" applyFont="1" applyBorder="1" applyAlignment="1">
      <alignment horizontal="center" vertical="center" wrapText="1"/>
    </xf>
    <xf numFmtId="166" fontId="0" fillId="0" borderId="4" xfId="0" applyNumberFormat="1" applyBorder="1"/>
    <xf numFmtId="166" fontId="0" fillId="0" borderId="0" xfId="0" applyNumberFormat="1" applyBorder="1"/>
    <xf numFmtId="166" fontId="0" fillId="0" borderId="3" xfId="0" applyNumberFormat="1" applyBorder="1"/>
    <xf numFmtId="166" fontId="0" fillId="0" borderId="5" xfId="0" applyNumberFormat="1" applyBorder="1"/>
    <xf numFmtId="166" fontId="0" fillId="0" borderId="13" xfId="0" applyNumberFormat="1" applyBorder="1"/>
    <xf numFmtId="165" fontId="0" fillId="0" borderId="13" xfId="0" applyNumberFormat="1" applyBorder="1"/>
    <xf numFmtId="165" fontId="0" fillId="0" borderId="8" xfId="0" applyNumberFormat="1" applyBorder="1"/>
    <xf numFmtId="164" fontId="3" fillId="0" borderId="0" xfId="0" applyNumberFormat="1" applyFont="1" applyBorder="1"/>
    <xf numFmtId="0" fontId="1" fillId="4" borderId="1" xfId="0" applyFont="1" applyFill="1" applyBorder="1" applyAlignment="1">
      <alignment horizontal="center"/>
    </xf>
    <xf numFmtId="10" fontId="10" fillId="0" borderId="1" xfId="0" applyNumberFormat="1" applyFont="1" applyBorder="1" applyAlignment="1">
      <alignment horizontal="center" vertical="center" wrapText="1"/>
    </xf>
    <xf numFmtId="10" fontId="0" fillId="0" borderId="3" xfId="0" applyNumberFormat="1" applyBorder="1"/>
    <xf numFmtId="10" fontId="0" fillId="0" borderId="5" xfId="0" applyNumberFormat="1" applyBorder="1"/>
    <xf numFmtId="10" fontId="0" fillId="0" borderId="1" xfId="0" applyNumberFormat="1" applyBorder="1"/>
    <xf numFmtId="10" fontId="0" fillId="0" borderId="10" xfId="0" applyNumberFormat="1" applyBorder="1"/>
    <xf numFmtId="10" fontId="0" fillId="0" borderId="6" xfId="0" applyNumberFormat="1" applyBorder="1"/>
    <xf numFmtId="10" fontId="10" fillId="0" borderId="3" xfId="0" applyNumberFormat="1" applyFont="1" applyBorder="1" applyAlignment="1">
      <alignment horizontal="center" vertical="center" wrapText="1"/>
    </xf>
    <xf numFmtId="10" fontId="0" fillId="0" borderId="4" xfId="0" applyNumberFormat="1" applyBorder="1"/>
    <xf numFmtId="10" fontId="0" fillId="0" borderId="0" xfId="0" applyNumberFormat="1" applyBorder="1"/>
    <xf numFmtId="0" fontId="0" fillId="0" borderId="0" xfId="0" applyBorder="1"/>
    <xf numFmtId="10" fontId="0" fillId="0" borderId="13" xfId="0" applyNumberFormat="1" applyBorder="1"/>
    <xf numFmtId="0" fontId="0" fillId="0" borderId="13" xfId="0" applyBorder="1"/>
    <xf numFmtId="0" fontId="1" fillId="7" borderId="1" xfId="0" applyFont="1" applyFill="1" applyBorder="1" applyAlignment="1">
      <alignment horizontal="center" vertical="center"/>
    </xf>
    <xf numFmtId="166" fontId="0" fillId="0" borderId="10" xfId="0" applyNumberFormat="1" applyBorder="1"/>
    <xf numFmtId="166" fontId="0" fillId="0" borderId="6" xfId="0" applyNumberFormat="1" applyBorder="1"/>
    <xf numFmtId="166" fontId="0" fillId="0" borderId="7" xfId="0" applyNumberFormat="1" applyBorder="1"/>
    <xf numFmtId="0" fontId="0" fillId="0" borderId="9" xfId="0" applyBorder="1"/>
    <xf numFmtId="1" fontId="5" fillId="0" borderId="1" xfId="0" applyNumberFormat="1" applyFont="1" applyBorder="1" applyAlignment="1">
      <alignment horizontal="center" vertical="center" wrapText="1" shrinkToFit="1"/>
    </xf>
    <xf numFmtId="1" fontId="3" fillId="0" borderId="1" xfId="0" applyNumberFormat="1" applyFont="1" applyBorder="1"/>
    <xf numFmtId="1" fontId="3" fillId="0" borderId="0" xfId="0" applyNumberFormat="1" applyFont="1"/>
    <xf numFmtId="0" fontId="11" fillId="0" borderId="1" xfId="0" applyFont="1" applyBorder="1"/>
    <xf numFmtId="165" fontId="11" fillId="0" borderId="1" xfId="0" applyNumberFormat="1" applyFont="1" applyBorder="1"/>
    <xf numFmtId="1" fontId="11" fillId="0" borderId="1" xfId="0" applyNumberFormat="1" applyFont="1" applyBorder="1"/>
    <xf numFmtId="166" fontId="11" fillId="0" borderId="1" xfId="0" applyNumberFormat="1" applyFont="1" applyBorder="1"/>
  </cellXfs>
  <cellStyles count="1">
    <cellStyle name="عادي" xfId="0" builtinId="0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CCFF"/>
      <color rgb="FFFF99FF"/>
      <color rgb="FFCC99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32679-5A35-423D-9BE1-0EB0332424AA}">
  <dimension ref="A1:H15"/>
  <sheetViews>
    <sheetView rightToLeft="1" tabSelected="1" workbookViewId="0">
      <selection activeCell="F11" sqref="F11"/>
    </sheetView>
  </sheetViews>
  <sheetFormatPr defaultRowHeight="18"/>
  <cols>
    <col min="1" max="1" width="19.25" style="1" customWidth="1"/>
    <col min="2" max="2" width="11.5" style="1" customWidth="1"/>
    <col min="3" max="3" width="11.875" style="115" customWidth="1"/>
    <col min="4" max="4" width="16.625" style="11" customWidth="1"/>
    <col min="5" max="5" width="12.875" style="11" customWidth="1"/>
    <col min="6" max="6" width="12.625" style="14" customWidth="1"/>
    <col min="7" max="7" width="19.5" style="14" customWidth="1"/>
    <col min="8" max="8" width="31.125" style="1" customWidth="1"/>
    <col min="9" max="16384" width="9" style="1"/>
  </cols>
  <sheetData>
    <row r="1" spans="1:8" ht="27.75" customHeight="1">
      <c r="A1" s="38" t="s">
        <v>0</v>
      </c>
      <c r="B1" s="38"/>
      <c r="C1" s="38"/>
      <c r="D1" s="38"/>
      <c r="E1" s="38"/>
      <c r="F1" s="38"/>
      <c r="G1" s="38"/>
      <c r="H1" s="38"/>
    </row>
    <row r="2" spans="1:8">
      <c r="A2" s="39" t="s">
        <v>1</v>
      </c>
      <c r="B2" s="39"/>
      <c r="C2" s="39"/>
      <c r="D2" s="39"/>
      <c r="E2" s="39"/>
      <c r="F2" s="39"/>
      <c r="G2" s="39"/>
      <c r="H2" s="39"/>
    </row>
    <row r="3" spans="1:8" s="6" customFormat="1" ht="40.5" customHeight="1">
      <c r="A3" s="4"/>
      <c r="B3" s="5" t="s">
        <v>13</v>
      </c>
      <c r="C3" s="113" t="s">
        <v>14</v>
      </c>
      <c r="D3" s="9" t="s">
        <v>2</v>
      </c>
      <c r="E3" s="9" t="s">
        <v>3</v>
      </c>
      <c r="F3" s="12" t="s">
        <v>4</v>
      </c>
      <c r="G3" s="15" t="s">
        <v>10</v>
      </c>
      <c r="H3" s="4" t="s">
        <v>11</v>
      </c>
    </row>
    <row r="4" spans="1:8">
      <c r="A4" s="3" t="s">
        <v>5</v>
      </c>
      <c r="B4" s="2">
        <f>COUNTIF('تفاصيل المحفظة الاستثمارية'!$A$4:$A$18,A4)</f>
        <v>4</v>
      </c>
      <c r="C4" s="114">
        <f>AVERAGEIF('تفاصيل المحفظة الاستثمارية'!$A$4:$A$18,A4,'تفاصيل المحفظة الاستثمارية'!$Q$4:$Q$18)</f>
        <v>35.75</v>
      </c>
      <c r="D4" s="10">
        <f>SUMIF('تفاصيل المحفظة الاستثمارية'!$A$4:$A$18,A4,'تفاصيل المحفظة الاستثمارية'!$G$4:$G$18)</f>
        <v>23772.5</v>
      </c>
      <c r="E4" s="10">
        <f>SUMIF('تفاصيل المحفظة الاستثمارية'!$A$4:$A$18,A4,'تفاصيل المحفظة الاستثمارية'!$K$4:$K$18)</f>
        <v>27274</v>
      </c>
      <c r="F4" s="13">
        <f>((E4-D4)/D4)/(C4/12)</f>
        <v>4.944068446013971E-2</v>
      </c>
      <c r="G4" s="13"/>
      <c r="H4" s="20" t="s">
        <v>15</v>
      </c>
    </row>
    <row r="5" spans="1:8">
      <c r="A5" s="3" t="s">
        <v>6</v>
      </c>
      <c r="B5" s="2">
        <f>COUNTIF('تفاصيل المحفظة الاستثمارية'!$A$4:$A$18,A5)</f>
        <v>3</v>
      </c>
      <c r="C5" s="114">
        <f>AVERAGEIF('تفاصيل المحفظة الاستثمارية'!$A$4:$A$18,A5,'تفاصيل المحفظة الاستثمارية'!$Q$4:$Q$18)</f>
        <v>33.666666666666664</v>
      </c>
      <c r="D5" s="10">
        <f>SUMIF('تفاصيل المحفظة الاستثمارية'!$A$4:$A$18,A5,'تفاصيل المحفظة الاستثمارية'!$G$4:$G$18)</f>
        <v>22110</v>
      </c>
      <c r="E5" s="10">
        <f>SUMIF('تفاصيل المحفظة الاستثمارية'!$A$4:$A$18,A5,'تفاصيل المحفظة الاستثمارية'!$K$4:$K$18)</f>
        <v>22903.840733842793</v>
      </c>
      <c r="F5" s="13">
        <f t="shared" ref="F5:F7" si="0">((E5-D5)/D5)/(C5/12)</f>
        <v>1.2797518446624016E-2</v>
      </c>
      <c r="G5" s="13"/>
      <c r="H5" s="20" t="s">
        <v>16</v>
      </c>
    </row>
    <row r="6" spans="1:8">
      <c r="A6" s="3" t="s">
        <v>7</v>
      </c>
      <c r="B6" s="2">
        <f>COUNTIF('تفاصيل المحفظة الاستثمارية'!$A$4:$A$18,A6)</f>
        <v>3</v>
      </c>
      <c r="C6" s="114">
        <f>AVERAGEIF('تفاصيل المحفظة الاستثمارية'!$A$4:$A$18,A6,'تفاصيل المحفظة الاستثمارية'!$Q$4:$Q$18)</f>
        <v>26.666666666666668</v>
      </c>
      <c r="D6" s="10">
        <f>SUMIF('تفاصيل المحفظة الاستثمارية'!$A$4:$A$18,A6,'تفاصيل المحفظة الاستثمارية'!$G$4:$G$18)</f>
        <v>18982.5</v>
      </c>
      <c r="E6" s="10">
        <f>SUMIF('تفاصيل المحفظة الاستثمارية'!$A$4:$A$18,A6,'تفاصيل المحفظة الاستثمارية'!$K$4:$K$18)</f>
        <v>22578.489148337248</v>
      </c>
      <c r="F6" s="13">
        <f t="shared" si="0"/>
        <v>8.5246680719176168E-2</v>
      </c>
      <c r="G6" s="13"/>
      <c r="H6" s="20" t="s">
        <v>17</v>
      </c>
    </row>
    <row r="7" spans="1:8">
      <c r="A7" s="3" t="s">
        <v>8</v>
      </c>
      <c r="B7" s="2">
        <f>COUNTIF('تفاصيل المحفظة الاستثمارية'!$A$4:$A$18,A7)</f>
        <v>5</v>
      </c>
      <c r="C7" s="114">
        <f>AVERAGEIF('تفاصيل المحفظة الاستثمارية'!$A$4:$A$18,A7,'تفاصيل المحفظة الاستثمارية'!$Q$4:$Q$18)</f>
        <v>63</v>
      </c>
      <c r="D7" s="10">
        <f>SUMIF('تفاصيل المحفظة الاستثمارية'!$A$4:$A$18,A7,'تفاصيل المحفظة الاستثمارية'!$G$4:$G$18)</f>
        <v>31762.5</v>
      </c>
      <c r="E7" s="10">
        <f>SUMIF('تفاصيل المحفظة الاستثمارية'!$A$4:$A$18,A7,'تفاصيل المحفظة الاستثمارية'!$K$4:$K$18)</f>
        <v>45101.085260954264</v>
      </c>
      <c r="F7" s="13">
        <f t="shared" si="0"/>
        <v>7.9990016744539344E-2</v>
      </c>
      <c r="G7" s="13"/>
      <c r="H7" s="20" t="s">
        <v>18</v>
      </c>
    </row>
    <row r="8" spans="1:8">
      <c r="A8" s="17" t="s">
        <v>9</v>
      </c>
      <c r="B8" s="116">
        <f>SUM(B4:B7)</f>
        <v>15</v>
      </c>
      <c r="C8" s="116">
        <v>43</v>
      </c>
      <c r="D8" s="117">
        <f>SUM(D4:D7)</f>
        <v>96627.5</v>
      </c>
      <c r="E8" s="117">
        <f>SUM(E4:E7)</f>
        <v>117857.41514313431</v>
      </c>
      <c r="F8" s="13">
        <f>((E8-D8)/D8)/(C8/12)</f>
        <v>6.1314092590669556E-2</v>
      </c>
      <c r="G8" s="13"/>
      <c r="H8" s="2"/>
    </row>
    <row r="9" spans="1:8" ht="23.25" customHeight="1">
      <c r="A9" s="40" t="s">
        <v>12</v>
      </c>
      <c r="B9" s="40"/>
      <c r="C9" s="40"/>
      <c r="D9" s="40"/>
      <c r="E9" s="40"/>
      <c r="F9" s="40"/>
    </row>
    <row r="10" spans="1:8" s="6" customFormat="1" ht="41.25" customHeight="1">
      <c r="A10" s="7"/>
      <c r="B10" s="5" t="s">
        <v>13</v>
      </c>
      <c r="C10" s="113" t="s">
        <v>14</v>
      </c>
      <c r="D10" s="9" t="s">
        <v>2</v>
      </c>
      <c r="E10" s="9" t="s">
        <v>3</v>
      </c>
      <c r="F10" s="12" t="s">
        <v>4</v>
      </c>
      <c r="G10" s="16"/>
    </row>
    <row r="11" spans="1:8">
      <c r="A11" s="3" t="s">
        <v>5</v>
      </c>
      <c r="B11" s="2">
        <f>COUNTIFS('تفاصيل المحفظة الاستثمارية'!$A$4:$A$18,A11,'تفاصيل المحفظة الاستثمارية'!$W$4:$W$18,"&lt;=-1%")</f>
        <v>1</v>
      </c>
      <c r="C11" s="114">
        <f>AVERAGEIFS('تفاصيل المحفظة الاستثمارية'!$Q$4:$Q$18,'تفاصيل المحفظة الاستثمارية'!$A$4:$A$18,A11,'تفاصيل المحفظة الاستثمارية'!$W$4:$W$18,"&lt;=-1%")</f>
        <v>10</v>
      </c>
      <c r="D11" s="10">
        <f>SUMIFS('تفاصيل المحفظة الاستثمارية'!$G$4:$G$18,'تفاصيل المحفظة الاستثمارية'!$A$4:$A$18,A11,'تفاصيل المحفظة الاستثمارية'!$W$4:$W$18,"&lt;=-1%")</f>
        <v>5500</v>
      </c>
      <c r="E11" s="10">
        <f>SUMIFS('تفاصيل المحفظة الاستثمارية'!$K$4:$K$18,'تفاصيل المحفظة الاستثمارية'!$A$4:$A$18,A11,'تفاصيل المحفظة الاستثمارية'!$W$4:$W$18,"&lt;=-1%")</f>
        <v>5626</v>
      </c>
      <c r="F11" s="13">
        <f>((E11-D11)/D11)/(C11/12)</f>
        <v>2.749090909090909E-2</v>
      </c>
    </row>
    <row r="12" spans="1:8">
      <c r="A12" s="3" t="s">
        <v>6</v>
      </c>
      <c r="B12" s="2">
        <f>COUNTIFS('تفاصيل المحفظة الاستثمارية'!$A$4:$A$18,A12,'تفاصيل المحفظة الاستثمارية'!$W$4:$W$18,"&lt;=-1%")</f>
        <v>3</v>
      </c>
      <c r="C12" s="114">
        <f>AVERAGEIFS('تفاصيل المحفظة الاستثمارية'!$Q$4:$Q$18,'تفاصيل المحفظة الاستثمارية'!$A$4:$A$18,A12,'تفاصيل المحفظة الاستثمارية'!$W$4:$W$18,"&lt;=-1%")</f>
        <v>33.666666666666664</v>
      </c>
      <c r="D12" s="10">
        <f>SUMIFS('تفاصيل المحفظة الاستثمارية'!$G$4:$G$18,'تفاصيل المحفظة الاستثمارية'!$A$4:$A$18,A12,'تفاصيل المحفظة الاستثمارية'!$W$4:$W$18,"&lt;=-1%")</f>
        <v>22110</v>
      </c>
      <c r="E12" s="10">
        <f>SUMIFS('تفاصيل المحفظة الاستثمارية'!$K$4:$K$18,'تفاصيل المحفظة الاستثمارية'!$A$4:$A$18,A12,'تفاصيل المحفظة الاستثمارية'!$W$4:$W$18,"&lt;=-1%")</f>
        <v>22903.840733842793</v>
      </c>
      <c r="F12" s="13">
        <f t="shared" ref="F12:F15" si="1">((E12-D12)/D12)/(C12/12)</f>
        <v>1.2797518446624016E-2</v>
      </c>
    </row>
    <row r="13" spans="1:8">
      <c r="A13" s="3" t="s">
        <v>7</v>
      </c>
      <c r="B13" s="2">
        <f>COUNTIFS('تفاصيل المحفظة الاستثمارية'!$A$4:$A$18,A13,'تفاصيل المحفظة الاستثمارية'!$W$4:$W$18,"&lt;=-1%")</f>
        <v>1</v>
      </c>
      <c r="C13" s="114">
        <f>AVERAGEIFS('تفاصيل المحفظة الاستثمارية'!$Q$4:$Q$18,'تفاصيل المحفظة الاستثمارية'!$A$4:$A$18,A13,'تفاصيل المحفظة الاستثمارية'!$W$4:$W$18,"&lt;=-1%")</f>
        <v>42</v>
      </c>
      <c r="D13" s="10">
        <f>SUMIFS('تفاصيل المحفظة الاستثمارية'!$G$4:$G$18,'تفاصيل المحفظة الاستثمارية'!$A$4:$A$18,A13,'تفاصيل المحفظة الاستثمارية'!$W$4:$W$18,"&lt;=-1%")</f>
        <v>7340</v>
      </c>
      <c r="E13" s="10">
        <f>SUMIFS('تفاصيل المحفظة الاستثمارية'!$K$4:$K$18,'تفاصيل المحفظة الاستثمارية'!$A$4:$A$18,A13,'تفاصيل المحفظة الاستثمارية'!$W$4:$W$18,"&lt;=-1%")</f>
        <v>5958.4831419919183</v>
      </c>
      <c r="F13" s="13">
        <f t="shared" si="1"/>
        <v>-5.3776444453409178E-2</v>
      </c>
    </row>
    <row r="14" spans="1:8">
      <c r="A14" s="3" t="s">
        <v>8</v>
      </c>
      <c r="B14" s="2">
        <f>COUNTIFS('تفاصيل المحفظة الاستثمارية'!$A$4:$A$18,A14,'تفاصيل المحفظة الاستثمارية'!$W$4:$W$18,"&lt;=-1%")</f>
        <v>2</v>
      </c>
      <c r="C14" s="114">
        <f>AVERAGEIFS('تفاصيل المحفظة الاستثمارية'!$Q$4:$Q$18,'تفاصيل المحفظة الاستثمارية'!$A$4:$A$18,A14,'تفاصيل المحفظة الاستثمارية'!$W$4:$W$18,"&lt;=-1%")</f>
        <v>68.5</v>
      </c>
      <c r="D14" s="10">
        <f>SUMIFS('تفاصيل المحفظة الاستثمارية'!$G$4:$G$18,'تفاصيل المحفظة الاستثمارية'!$A$4:$A$18,A14,'تفاصيل المحفظة الاستثمارية'!$W$4:$W$18,"&lt;=-1%")</f>
        <v>10096.5</v>
      </c>
      <c r="E14" s="10">
        <f>SUMIFS('تفاصيل المحفظة الاستثمارية'!$K$4:$K$18,'تفاصيل المحفظة الاستثمارية'!$A$4:$A$18,A14,'تفاصيل المحفظة الاستثمارية'!$W$4:$W$18,"&lt;=-1%")</f>
        <v>13990.736907457132</v>
      </c>
      <c r="F14" s="13">
        <f t="shared" si="1"/>
        <v>6.7568175702262354E-2</v>
      </c>
    </row>
    <row r="15" spans="1:8">
      <c r="A15" s="17" t="s">
        <v>9</v>
      </c>
      <c r="B15" s="18">
        <f>SUM(B11:B14)</f>
        <v>7</v>
      </c>
      <c r="C15" s="118">
        <f>AVERAGEIF('تفاصيل المحفظة الاستثمارية'!$W$4:$W$18,"&lt;=-1%",'تفاصيل المحفظة الاستثمارية'!$Q$4:$Q$18)</f>
        <v>41.428571428571431</v>
      </c>
      <c r="D15" s="19">
        <f>SUM(D11:D14)</f>
        <v>45046.5</v>
      </c>
      <c r="E15" s="19">
        <f>SUM(E11:E14)</f>
        <v>48479.060783291847</v>
      </c>
      <c r="F15" s="119">
        <f t="shared" si="1"/>
        <v>2.2071836557895165E-2</v>
      </c>
    </row>
  </sheetData>
  <mergeCells count="3">
    <mergeCell ref="A1:H1"/>
    <mergeCell ref="A2:H2"/>
    <mergeCell ref="A9:F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06C21-6F9B-415D-A017-279DAECDDF2D}">
  <dimension ref="A1:X19"/>
  <sheetViews>
    <sheetView rightToLeft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8" sqref="A8"/>
    </sheetView>
  </sheetViews>
  <sheetFormatPr defaultRowHeight="14.25"/>
  <cols>
    <col min="1" max="1" width="19.25" customWidth="1"/>
    <col min="2" max="2" width="8.75" customWidth="1"/>
    <col min="3" max="3" width="44" customWidth="1"/>
    <col min="4" max="4" width="12.25" style="30" customWidth="1"/>
    <col min="5" max="5" width="13.75" customWidth="1"/>
    <col min="6" max="6" width="12" style="37" customWidth="1"/>
    <col min="7" max="7" width="10.5" style="57" customWidth="1"/>
    <col min="8" max="8" width="10.875" style="37" customWidth="1"/>
    <col min="9" max="9" width="11.375" style="57" customWidth="1"/>
    <col min="10" max="10" width="12.5" customWidth="1"/>
    <col min="11" max="11" width="14.75" style="57" customWidth="1"/>
    <col min="12" max="12" width="17.5" style="85" customWidth="1"/>
    <col min="13" max="13" width="21.25" style="85" customWidth="1"/>
    <col min="14" max="14" width="16.375" customWidth="1"/>
    <col min="15" max="15" width="11.25" customWidth="1"/>
    <col min="16" max="16" width="10.25" customWidth="1"/>
    <col min="17" max="17" width="9.875" customWidth="1"/>
    <col min="18" max="18" width="10.25" customWidth="1"/>
    <col min="19" max="19" width="16.375" style="57" customWidth="1"/>
    <col min="20" max="20" width="13" style="30" customWidth="1"/>
    <col min="21" max="21" width="15.625" style="30" customWidth="1"/>
    <col min="22" max="22" width="13.625" style="30" customWidth="1"/>
    <col min="23" max="23" width="21.5" style="30" customWidth="1"/>
    <col min="24" max="24" width="10.5" customWidth="1"/>
  </cols>
  <sheetData>
    <row r="1" spans="1:24" ht="31.5" customHeight="1">
      <c r="A1" s="41" t="s">
        <v>19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</row>
    <row r="2" spans="1:24" s="21" customFormat="1" ht="18">
      <c r="A2" s="43" t="s">
        <v>21</v>
      </c>
      <c r="B2" s="44"/>
      <c r="C2" s="44"/>
      <c r="D2" s="45"/>
      <c r="E2" s="46" t="s">
        <v>20</v>
      </c>
      <c r="F2" s="47"/>
      <c r="G2" s="48"/>
      <c r="H2" s="50" t="s">
        <v>3</v>
      </c>
      <c r="I2" s="50"/>
      <c r="J2" s="50"/>
      <c r="K2" s="50"/>
      <c r="L2" s="108" t="s">
        <v>50</v>
      </c>
      <c r="M2" s="108"/>
      <c r="N2" s="108"/>
      <c r="O2" s="108"/>
      <c r="P2" s="108"/>
      <c r="Q2" s="108"/>
      <c r="R2" s="108"/>
      <c r="S2" s="95"/>
      <c r="T2" s="95"/>
      <c r="U2" s="95"/>
      <c r="V2" s="95"/>
      <c r="W2" s="95"/>
      <c r="X2" s="95"/>
    </row>
    <row r="3" spans="1:24" s="34" customFormat="1" ht="38.25" customHeight="1">
      <c r="A3" s="31" t="s">
        <v>22</v>
      </c>
      <c r="B3" s="32" t="s">
        <v>23</v>
      </c>
      <c r="C3" s="31" t="s">
        <v>24</v>
      </c>
      <c r="D3" s="33" t="s">
        <v>25</v>
      </c>
      <c r="E3" s="31" t="s">
        <v>26</v>
      </c>
      <c r="F3" s="36" t="s">
        <v>30</v>
      </c>
      <c r="G3" s="64" t="s">
        <v>27</v>
      </c>
      <c r="H3" s="49" t="s">
        <v>28</v>
      </c>
      <c r="I3" s="74" t="s">
        <v>29</v>
      </c>
      <c r="J3" s="70" t="s">
        <v>46</v>
      </c>
      <c r="K3" s="82" t="s">
        <v>47</v>
      </c>
      <c r="L3" s="86" t="s">
        <v>48</v>
      </c>
      <c r="M3" s="83" t="s">
        <v>49</v>
      </c>
      <c r="N3" s="70" t="s">
        <v>51</v>
      </c>
      <c r="O3" s="70" t="s">
        <v>52</v>
      </c>
      <c r="P3" s="70" t="s">
        <v>53</v>
      </c>
      <c r="Q3" s="51" t="s">
        <v>55</v>
      </c>
      <c r="R3" s="70" t="s">
        <v>54</v>
      </c>
      <c r="S3" s="78" t="s">
        <v>56</v>
      </c>
      <c r="T3" s="96" t="s">
        <v>60</v>
      </c>
      <c r="U3" s="96" t="s">
        <v>61</v>
      </c>
      <c r="V3" s="102" t="s">
        <v>57</v>
      </c>
      <c r="W3" s="96" t="s">
        <v>58</v>
      </c>
      <c r="X3" s="70" t="s">
        <v>59</v>
      </c>
    </row>
    <row r="4" spans="1:24" ht="18">
      <c r="A4" s="22" t="s">
        <v>5</v>
      </c>
      <c r="B4" s="24" t="s">
        <v>31</v>
      </c>
      <c r="C4" s="24"/>
      <c r="D4" s="26">
        <v>4.5999999999999999E-2</v>
      </c>
      <c r="E4" s="24">
        <v>750</v>
      </c>
      <c r="F4" s="58">
        <v>9.49</v>
      </c>
      <c r="G4" s="56">
        <f>E4*F4</f>
        <v>7117.5</v>
      </c>
      <c r="H4" s="61">
        <v>9.84</v>
      </c>
      <c r="I4" s="75">
        <v>7380</v>
      </c>
      <c r="J4" s="67">
        <f>FV(D4/12,Q4,0,-G4)-G4</f>
        <v>1434.8386527067451</v>
      </c>
      <c r="K4" s="92">
        <v>8815</v>
      </c>
      <c r="L4" s="89">
        <f>K4/$K$19</f>
        <v>7.4793766597497882E-2</v>
      </c>
      <c r="M4" s="91">
        <v>0.1</v>
      </c>
      <c r="N4" s="109">
        <f>L4-M4</f>
        <v>-2.5206233402502123E-2</v>
      </c>
      <c r="O4" s="52" t="str">
        <f>IF(N4&gt;1%,"أعد التوازن",IF(N4&lt;-1%,"أعد التوازن","موافق"))</f>
        <v>أعد التوازن</v>
      </c>
      <c r="P4" s="68" t="str">
        <f>IF(AND(N4&lt;-1%,S4&gt;=0),"شراء",IF(AND(N4&gt;1%,S4&gt;=0,Q4=12)=TRUE,"بيع","انتظر"))</f>
        <v>شراء</v>
      </c>
      <c r="Q4" s="107">
        <v>48</v>
      </c>
      <c r="R4" s="52" t="str">
        <f>IF(Q4&gt;=12,"طويل","قصير")</f>
        <v>طويل</v>
      </c>
      <c r="S4" s="79">
        <v>1697</v>
      </c>
      <c r="T4" s="97">
        <v>0.23849999999999999</v>
      </c>
      <c r="U4" s="100">
        <v>4.5999999999999999E-2</v>
      </c>
      <c r="V4" s="97">
        <f>T4/(Q4/12)</f>
        <v>5.9624999999999997E-2</v>
      </c>
      <c r="W4" s="106">
        <v>1.3599999999999999E-2</v>
      </c>
      <c r="X4" s="52" t="str">
        <f>IF(OR(S4&lt;0,W4&lt;-1%),"احذر","موافق")</f>
        <v>موافق</v>
      </c>
    </row>
    <row r="5" spans="1:24" ht="18">
      <c r="A5" s="22" t="s">
        <v>5</v>
      </c>
      <c r="B5" s="25" t="s">
        <v>32</v>
      </c>
      <c r="C5" s="25"/>
      <c r="D5" s="27">
        <v>3.2000000000000001E-2</v>
      </c>
      <c r="E5" s="25">
        <v>750</v>
      </c>
      <c r="F5" s="59">
        <v>10.68</v>
      </c>
      <c r="G5" s="66">
        <f t="shared" ref="G5:G18" si="0">E5*F5</f>
        <v>8010</v>
      </c>
      <c r="H5" s="94">
        <v>10.73</v>
      </c>
      <c r="I5" s="66">
        <v>8048</v>
      </c>
      <c r="J5" s="72">
        <f t="shared" ref="J5:J18" si="1">FV(D5/12,Q5,0,-G5)-G5</f>
        <v>829.46280025548913</v>
      </c>
      <c r="K5" s="71">
        <v>8877</v>
      </c>
      <c r="L5" s="90">
        <f t="shared" ref="L5:L18" si="2">K5/$K$19</f>
        <v>7.5319825988200639E-2</v>
      </c>
      <c r="M5" s="88">
        <v>0.1</v>
      </c>
      <c r="N5" s="110">
        <f t="shared" ref="N5:N18" si="3">L5-M5</f>
        <v>-2.4680174011799366E-2</v>
      </c>
      <c r="O5" s="53" t="str">
        <f t="shared" ref="O5:O18" si="4">IF(N5&gt;1%,"أعد التوازن",IF(N5&lt;-1%,"أعد التوازن","موافق"))</f>
        <v>أعد التوازن</v>
      </c>
      <c r="P5" s="69" t="str">
        <f t="shared" ref="P5:P18" si="5">IF(AND(N5&lt;-1%,S5&gt;=0),"شراء",IF(AND(N5&gt;1%,S5&gt;=0,Q5=12)=TRUE,"بيع","انتظر"))</f>
        <v>شراء</v>
      </c>
      <c r="Q5" s="105">
        <v>37</v>
      </c>
      <c r="R5" s="53" t="str">
        <f t="shared" ref="R5:R18" si="6">IF(Q5&gt;=12,"طويل","قصير")</f>
        <v>طويل</v>
      </c>
      <c r="S5" s="80">
        <v>867</v>
      </c>
      <c r="T5" s="98">
        <v>0.1082</v>
      </c>
      <c r="U5" s="101">
        <v>3.2000000000000001E-2</v>
      </c>
      <c r="V5" s="98">
        <f t="shared" ref="V5:V19" si="7">T5/(Q5/12)</f>
        <v>3.5091891891891894E-2</v>
      </c>
      <c r="W5" s="104">
        <v>3.0999999999999999E-3</v>
      </c>
      <c r="X5" s="53" t="str">
        <f t="shared" ref="X5:X18" si="8">IF(OR(S5&lt;0,W5&lt;-1%),"احذر","موافق")</f>
        <v>موافق</v>
      </c>
    </row>
    <row r="6" spans="1:24" ht="18">
      <c r="A6" s="22" t="s">
        <v>5</v>
      </c>
      <c r="B6" s="25" t="s">
        <v>33</v>
      </c>
      <c r="C6" s="25"/>
      <c r="D6" s="27">
        <v>7.1999999999999995E-2</v>
      </c>
      <c r="E6" s="25">
        <v>500</v>
      </c>
      <c r="F6" s="59">
        <v>6.29</v>
      </c>
      <c r="G6" s="66">
        <f t="shared" si="0"/>
        <v>3145</v>
      </c>
      <c r="H6" s="94">
        <v>5.82</v>
      </c>
      <c r="I6" s="66">
        <v>2910</v>
      </c>
      <c r="J6" s="72">
        <f t="shared" si="1"/>
        <v>1046.058514026231</v>
      </c>
      <c r="K6" s="71">
        <v>3956</v>
      </c>
      <c r="L6" s="90">
        <f t="shared" si="2"/>
        <v>3.3565983058389287E-2</v>
      </c>
      <c r="M6" s="88">
        <v>0.1</v>
      </c>
      <c r="N6" s="110">
        <f t="shared" si="3"/>
        <v>-6.6434016941610718E-2</v>
      </c>
      <c r="O6" s="53" t="str">
        <f t="shared" si="4"/>
        <v>أعد التوازن</v>
      </c>
      <c r="P6" s="69" t="str">
        <f t="shared" si="5"/>
        <v>شراء</v>
      </c>
      <c r="Q6" s="105">
        <v>48</v>
      </c>
      <c r="R6" s="53" t="str">
        <f t="shared" si="6"/>
        <v>طويل</v>
      </c>
      <c r="S6" s="80">
        <v>811</v>
      </c>
      <c r="T6" s="98">
        <v>0.25790000000000002</v>
      </c>
      <c r="U6" s="101">
        <v>7.1999999999999995E-2</v>
      </c>
      <c r="V6" s="98">
        <f t="shared" si="7"/>
        <v>6.4475000000000005E-2</v>
      </c>
      <c r="W6" s="104">
        <v>-7.4999999999999997E-3</v>
      </c>
      <c r="X6" s="53" t="str">
        <f t="shared" si="8"/>
        <v>موافق</v>
      </c>
    </row>
    <row r="7" spans="1:24" ht="18">
      <c r="A7" s="22" t="s">
        <v>5</v>
      </c>
      <c r="B7" s="25" t="s">
        <v>34</v>
      </c>
      <c r="C7" s="25"/>
      <c r="D7" s="27">
        <v>0.04</v>
      </c>
      <c r="E7" s="25">
        <v>500</v>
      </c>
      <c r="F7" s="59">
        <v>11</v>
      </c>
      <c r="G7" s="66">
        <f t="shared" si="0"/>
        <v>5500</v>
      </c>
      <c r="H7" s="62">
        <v>10.88</v>
      </c>
      <c r="I7" s="76">
        <v>5440</v>
      </c>
      <c r="J7" s="72">
        <f t="shared" si="1"/>
        <v>186.10792094233329</v>
      </c>
      <c r="K7" s="71">
        <v>5626</v>
      </c>
      <c r="L7" s="90">
        <f t="shared" si="2"/>
        <v>4.7735647291834722E-2</v>
      </c>
      <c r="M7" s="88">
        <v>0.1</v>
      </c>
      <c r="N7" s="110">
        <f t="shared" si="3"/>
        <v>-5.2264352708165283E-2</v>
      </c>
      <c r="O7" s="53" t="str">
        <f t="shared" si="4"/>
        <v>أعد التوازن</v>
      </c>
      <c r="P7" s="69" t="str">
        <f t="shared" si="5"/>
        <v>شراء</v>
      </c>
      <c r="Q7" s="105">
        <v>10</v>
      </c>
      <c r="R7" s="53" t="str">
        <f t="shared" si="6"/>
        <v>قصير</v>
      </c>
      <c r="S7" s="80">
        <v>126</v>
      </c>
      <c r="T7" s="98">
        <v>2.29E-2</v>
      </c>
      <c r="U7" s="101">
        <v>0.04</v>
      </c>
      <c r="V7" s="98">
        <f>T7/(Q7/12)</f>
        <v>2.7479999999999997E-2</v>
      </c>
      <c r="W7" s="104">
        <v>-1.2500000000000001E-2</v>
      </c>
      <c r="X7" s="53" t="str">
        <f t="shared" si="8"/>
        <v>احذر</v>
      </c>
    </row>
    <row r="8" spans="1:24" ht="18">
      <c r="A8" s="22" t="s">
        <v>7</v>
      </c>
      <c r="B8" s="25" t="s">
        <v>35</v>
      </c>
      <c r="C8" s="25"/>
      <c r="D8" s="27">
        <v>2.5999999999999999E-2</v>
      </c>
      <c r="E8" s="25">
        <v>500</v>
      </c>
      <c r="F8" s="59">
        <v>14.68</v>
      </c>
      <c r="G8" s="66">
        <f t="shared" si="0"/>
        <v>7340</v>
      </c>
      <c r="H8" s="62">
        <v>10.52</v>
      </c>
      <c r="I8" s="76">
        <v>5260</v>
      </c>
      <c r="J8" s="72">
        <f t="shared" si="1"/>
        <v>698.48314199191827</v>
      </c>
      <c r="K8" s="71">
        <f t="shared" ref="K5:K18" si="9">I8+J8</f>
        <v>5958.4831419919183</v>
      </c>
      <c r="L8" s="90">
        <f t="shared" si="2"/>
        <v>5.0556709857886482E-2</v>
      </c>
      <c r="M8" s="88">
        <v>7.0000000000000007E-2</v>
      </c>
      <c r="N8" s="110">
        <f t="shared" si="3"/>
        <v>-1.9443290142113524E-2</v>
      </c>
      <c r="O8" s="53" t="str">
        <f t="shared" si="4"/>
        <v>أعد التوازن</v>
      </c>
      <c r="P8" s="69" t="str">
        <f t="shared" si="5"/>
        <v>انتظر</v>
      </c>
      <c r="Q8" s="105">
        <v>42</v>
      </c>
      <c r="R8" s="53" t="str">
        <f t="shared" si="6"/>
        <v>طويل</v>
      </c>
      <c r="S8" s="80">
        <v>-1382</v>
      </c>
      <c r="T8" s="98">
        <v>-0.18820000000000001</v>
      </c>
      <c r="U8" s="101">
        <v>0.08</v>
      </c>
      <c r="V8" s="98">
        <f t="shared" si="7"/>
        <v>-5.3771428571428574E-2</v>
      </c>
      <c r="W8" s="104">
        <v>-0.1338</v>
      </c>
      <c r="X8" s="53" t="str">
        <f t="shared" si="8"/>
        <v>احذر</v>
      </c>
    </row>
    <row r="9" spans="1:24" ht="18">
      <c r="A9" s="22" t="s">
        <v>6</v>
      </c>
      <c r="B9" s="25" t="s">
        <v>36</v>
      </c>
      <c r="C9" s="25"/>
      <c r="D9" s="27">
        <v>2.5000000000000001E-2</v>
      </c>
      <c r="E9" s="25">
        <v>500</v>
      </c>
      <c r="F9" s="59">
        <v>23.35</v>
      </c>
      <c r="G9" s="66">
        <f t="shared" si="0"/>
        <v>11675</v>
      </c>
      <c r="H9" s="62">
        <v>21.51</v>
      </c>
      <c r="I9" s="76">
        <v>10755</v>
      </c>
      <c r="J9" s="72">
        <f t="shared" si="1"/>
        <v>546.97376631645784</v>
      </c>
      <c r="K9" s="71">
        <f t="shared" si="9"/>
        <v>11301.973766316458</v>
      </c>
      <c r="L9" s="90">
        <f t="shared" si="2"/>
        <v>9.5895313439468763E-2</v>
      </c>
      <c r="M9" s="88">
        <v>0.05</v>
      </c>
      <c r="N9" s="110">
        <f t="shared" si="3"/>
        <v>4.589531343946876E-2</v>
      </c>
      <c r="O9" s="53" t="str">
        <f t="shared" si="4"/>
        <v>أعد التوازن</v>
      </c>
      <c r="P9" s="69" t="str">
        <f t="shared" si="5"/>
        <v>انتظر</v>
      </c>
      <c r="Q9" s="105">
        <v>22</v>
      </c>
      <c r="R9" s="53" t="str">
        <f t="shared" si="6"/>
        <v>طويل</v>
      </c>
      <c r="S9" s="80">
        <v>-373</v>
      </c>
      <c r="T9" s="98">
        <v>-3.2000000000000001E-2</v>
      </c>
      <c r="U9" s="101">
        <v>0.08</v>
      </c>
      <c r="V9" s="98">
        <f t="shared" si="7"/>
        <v>-1.7454545454545455E-2</v>
      </c>
      <c r="W9" s="104">
        <v>-9.74E-2</v>
      </c>
      <c r="X9" s="53" t="str">
        <f t="shared" si="8"/>
        <v>احذر</v>
      </c>
    </row>
    <row r="10" spans="1:24" ht="18">
      <c r="A10" s="22" t="s">
        <v>6</v>
      </c>
      <c r="B10" s="25" t="s">
        <v>37</v>
      </c>
      <c r="C10" s="25"/>
      <c r="D10" s="27">
        <v>3.0000000000000001E-3</v>
      </c>
      <c r="E10" s="25">
        <v>250</v>
      </c>
      <c r="F10" s="59">
        <v>19.329999999999998</v>
      </c>
      <c r="G10" s="66">
        <f t="shared" si="0"/>
        <v>4832.5</v>
      </c>
      <c r="H10" s="62">
        <v>23.67</v>
      </c>
      <c r="I10" s="76">
        <v>5918</v>
      </c>
      <c r="J10" s="72">
        <f t="shared" si="1"/>
        <v>40.028010244205689</v>
      </c>
      <c r="K10" s="71">
        <f t="shared" si="9"/>
        <v>5958.0280102442057</v>
      </c>
      <c r="L10" s="90">
        <f t="shared" si="2"/>
        <v>5.0552848142888233E-2</v>
      </c>
      <c r="M10" s="88">
        <v>0.05</v>
      </c>
      <c r="N10" s="110">
        <f t="shared" si="3"/>
        <v>5.5284814288823064E-4</v>
      </c>
      <c r="O10" s="53" t="str">
        <f t="shared" si="4"/>
        <v>موافق</v>
      </c>
      <c r="P10" s="69" t="str">
        <f t="shared" si="5"/>
        <v>انتظر</v>
      </c>
      <c r="Q10" s="105">
        <v>33</v>
      </c>
      <c r="R10" s="53" t="str">
        <f t="shared" si="6"/>
        <v>طويل</v>
      </c>
      <c r="S10" s="80">
        <v>1125</v>
      </c>
      <c r="T10" s="98">
        <v>0.23280000000000001</v>
      </c>
      <c r="U10" s="101">
        <v>0.1</v>
      </c>
      <c r="V10" s="98">
        <f t="shared" si="7"/>
        <v>8.4654545454545455E-2</v>
      </c>
      <c r="W10" s="104">
        <v>-1.5299999999999999E-2</v>
      </c>
      <c r="X10" s="53" t="str">
        <f t="shared" si="8"/>
        <v>احذر</v>
      </c>
    </row>
    <row r="11" spans="1:24" ht="18">
      <c r="A11" s="22" t="s">
        <v>6</v>
      </c>
      <c r="B11" s="25" t="s">
        <v>38</v>
      </c>
      <c r="C11" s="25"/>
      <c r="D11" s="27">
        <v>0.01</v>
      </c>
      <c r="E11" s="25">
        <v>250</v>
      </c>
      <c r="F11" s="59">
        <v>22.41</v>
      </c>
      <c r="G11" s="66">
        <f t="shared" si="0"/>
        <v>5602.5</v>
      </c>
      <c r="H11" s="62">
        <v>21.7</v>
      </c>
      <c r="I11" s="76">
        <v>5425</v>
      </c>
      <c r="J11" s="72">
        <f t="shared" si="1"/>
        <v>218.83895728212974</v>
      </c>
      <c r="K11" s="71">
        <f t="shared" si="9"/>
        <v>5643.8389572821297</v>
      </c>
      <c r="L11" s="90">
        <f t="shared" si="2"/>
        <v>4.7887007791812299E-2</v>
      </c>
      <c r="M11" s="88">
        <v>0.05</v>
      </c>
      <c r="N11" s="110">
        <f t="shared" si="3"/>
        <v>-2.1129922081877042E-3</v>
      </c>
      <c r="O11" s="53" t="str">
        <f t="shared" si="4"/>
        <v>موافق</v>
      </c>
      <c r="P11" s="69" t="str">
        <f t="shared" si="5"/>
        <v>انتظر</v>
      </c>
      <c r="Q11" s="105">
        <v>46</v>
      </c>
      <c r="R11" s="53" t="str">
        <f t="shared" si="6"/>
        <v>طويل</v>
      </c>
      <c r="S11" s="80">
        <v>41</v>
      </c>
      <c r="T11" s="98">
        <v>7.4000000000000003E-3</v>
      </c>
      <c r="U11" s="101">
        <v>0.1</v>
      </c>
      <c r="V11" s="98">
        <f t="shared" si="7"/>
        <v>1.9304347826086957E-3</v>
      </c>
      <c r="W11" s="104">
        <v>-9.8100000000000007E-2</v>
      </c>
      <c r="X11" s="53" t="str">
        <f t="shared" si="8"/>
        <v>احذر</v>
      </c>
    </row>
    <row r="12" spans="1:24" ht="18">
      <c r="A12" s="22" t="s">
        <v>7</v>
      </c>
      <c r="B12" s="25" t="s">
        <v>39</v>
      </c>
      <c r="C12" s="25"/>
      <c r="D12" s="27">
        <v>0.02</v>
      </c>
      <c r="E12" s="25">
        <v>250</v>
      </c>
      <c r="F12" s="59">
        <v>22.83</v>
      </c>
      <c r="G12" s="66">
        <f t="shared" si="0"/>
        <v>5707.5</v>
      </c>
      <c r="H12" s="62">
        <v>33.299999999999997</v>
      </c>
      <c r="I12" s="76">
        <v>8325</v>
      </c>
      <c r="J12" s="72">
        <f t="shared" si="1"/>
        <v>282.39689829524286</v>
      </c>
      <c r="K12" s="71">
        <f t="shared" si="9"/>
        <v>8607.3968982952429</v>
      </c>
      <c r="L12" s="90">
        <f t="shared" si="2"/>
        <v>7.3032289804097733E-2</v>
      </c>
      <c r="M12" s="88">
        <v>7.0000000000000007E-2</v>
      </c>
      <c r="N12" s="110">
        <f t="shared" si="3"/>
        <v>3.0322898040977264E-3</v>
      </c>
      <c r="O12" s="53" t="str">
        <f t="shared" si="4"/>
        <v>موافق</v>
      </c>
      <c r="P12" s="69" t="str">
        <f t="shared" si="5"/>
        <v>انتظر</v>
      </c>
      <c r="Q12" s="105">
        <v>29</v>
      </c>
      <c r="R12" s="53" t="str">
        <f t="shared" si="6"/>
        <v>طويل</v>
      </c>
      <c r="S12" s="80">
        <v>2900</v>
      </c>
      <c r="T12" s="98">
        <v>0.5081</v>
      </c>
      <c r="U12" s="101">
        <v>0.1</v>
      </c>
      <c r="V12" s="98">
        <f t="shared" si="7"/>
        <v>0.21024827586206898</v>
      </c>
      <c r="W12" s="104">
        <v>0.11020000000000001</v>
      </c>
      <c r="X12" s="53" t="str">
        <f t="shared" si="8"/>
        <v>موافق</v>
      </c>
    </row>
    <row r="13" spans="1:24" ht="18">
      <c r="A13" s="22" t="s">
        <v>7</v>
      </c>
      <c r="B13" s="25" t="s">
        <v>40</v>
      </c>
      <c r="C13" s="25"/>
      <c r="D13" s="27">
        <v>1.4E-2</v>
      </c>
      <c r="E13" s="25">
        <v>250</v>
      </c>
      <c r="F13" s="59">
        <v>23.74</v>
      </c>
      <c r="G13" s="66">
        <f t="shared" si="0"/>
        <v>5935</v>
      </c>
      <c r="H13" s="62">
        <v>31.8</v>
      </c>
      <c r="I13" s="76">
        <v>7950</v>
      </c>
      <c r="J13" s="72">
        <f t="shared" si="1"/>
        <v>62.609108050087343</v>
      </c>
      <c r="K13" s="71">
        <f t="shared" si="9"/>
        <v>8012.6091080500873</v>
      </c>
      <c r="L13" s="90">
        <f t="shared" si="2"/>
        <v>6.7985617182584668E-2</v>
      </c>
      <c r="M13" s="88">
        <v>0.06</v>
      </c>
      <c r="N13" s="110">
        <f t="shared" si="3"/>
        <v>7.98561718258467E-3</v>
      </c>
      <c r="O13" s="53" t="str">
        <f t="shared" si="4"/>
        <v>موافق</v>
      </c>
      <c r="P13" s="69" t="str">
        <f t="shared" si="5"/>
        <v>انتظر</v>
      </c>
      <c r="Q13" s="105">
        <v>9</v>
      </c>
      <c r="R13" s="53" t="str">
        <f t="shared" si="6"/>
        <v>قصير</v>
      </c>
      <c r="S13" s="80">
        <v>2078</v>
      </c>
      <c r="T13" s="98">
        <v>0.35010000000000002</v>
      </c>
      <c r="U13" s="101">
        <v>0.12</v>
      </c>
      <c r="V13" s="98">
        <f t="shared" si="7"/>
        <v>0.46680000000000005</v>
      </c>
      <c r="W13" s="104">
        <v>0.34670000000000001</v>
      </c>
      <c r="X13" s="53" t="str">
        <f t="shared" si="8"/>
        <v>موافق</v>
      </c>
    </row>
    <row r="14" spans="1:24" ht="18">
      <c r="A14" s="22" t="s">
        <v>8</v>
      </c>
      <c r="B14" s="25" t="s">
        <v>41</v>
      </c>
      <c r="C14" s="25"/>
      <c r="D14" s="27">
        <v>2.4E-2</v>
      </c>
      <c r="E14" s="25">
        <v>150</v>
      </c>
      <c r="F14" s="59">
        <v>38.14</v>
      </c>
      <c r="G14" s="66">
        <f t="shared" si="0"/>
        <v>5721</v>
      </c>
      <c r="H14" s="62">
        <v>55.54</v>
      </c>
      <c r="I14" s="76">
        <v>8331</v>
      </c>
      <c r="J14" s="72">
        <f t="shared" si="1"/>
        <v>885.14189860383431</v>
      </c>
      <c r="K14" s="71">
        <f t="shared" si="9"/>
        <v>9216.1418986038334</v>
      </c>
      <c r="L14" s="90">
        <f t="shared" si="2"/>
        <v>7.8197386964673404E-2</v>
      </c>
      <c r="M14" s="88">
        <v>0.05</v>
      </c>
      <c r="N14" s="110">
        <f t="shared" si="3"/>
        <v>2.8197386964673402E-2</v>
      </c>
      <c r="O14" s="53" t="str">
        <f t="shared" si="4"/>
        <v>أعد التوازن</v>
      </c>
      <c r="P14" s="69" t="str">
        <f t="shared" si="5"/>
        <v>انتظر</v>
      </c>
      <c r="Q14" s="105">
        <v>72</v>
      </c>
      <c r="R14" s="53" t="str">
        <f t="shared" si="6"/>
        <v>طويل</v>
      </c>
      <c r="S14" s="80">
        <v>3495</v>
      </c>
      <c r="T14" s="98">
        <v>0.6109</v>
      </c>
      <c r="U14" s="101">
        <v>0.08</v>
      </c>
      <c r="V14" s="98">
        <f t="shared" si="7"/>
        <v>0.10181666666666667</v>
      </c>
      <c r="W14" s="104">
        <v>2.18E-2</v>
      </c>
      <c r="X14" s="53" t="str">
        <f t="shared" si="8"/>
        <v>موافق</v>
      </c>
    </row>
    <row r="15" spans="1:24" ht="18">
      <c r="A15" s="22" t="s">
        <v>8</v>
      </c>
      <c r="B15" s="25" t="s">
        <v>42</v>
      </c>
      <c r="C15" s="25"/>
      <c r="D15" s="27">
        <v>3.5999999999999997E-2</v>
      </c>
      <c r="E15" s="25">
        <v>150</v>
      </c>
      <c r="F15" s="59">
        <v>53.3</v>
      </c>
      <c r="G15" s="66">
        <f t="shared" si="0"/>
        <v>7995</v>
      </c>
      <c r="H15" s="62">
        <v>61.94</v>
      </c>
      <c r="I15" s="76">
        <v>9291</v>
      </c>
      <c r="J15" s="72">
        <f t="shared" si="1"/>
        <v>2380.275578305329</v>
      </c>
      <c r="K15" s="71">
        <f t="shared" si="9"/>
        <v>11671.275578305329</v>
      </c>
      <c r="L15" s="90">
        <f t="shared" si="2"/>
        <v>9.9028776120118636E-2</v>
      </c>
      <c r="M15" s="88">
        <v>0.05</v>
      </c>
      <c r="N15" s="110">
        <f t="shared" si="3"/>
        <v>4.9028776120118633E-2</v>
      </c>
      <c r="O15" s="53" t="str">
        <f t="shared" si="4"/>
        <v>أعد التوازن</v>
      </c>
      <c r="P15" s="69" t="str">
        <f t="shared" si="5"/>
        <v>انتظر</v>
      </c>
      <c r="Q15" s="105">
        <v>87</v>
      </c>
      <c r="R15" s="53" t="str">
        <f t="shared" si="6"/>
        <v>طويل</v>
      </c>
      <c r="S15" s="80">
        <v>3676</v>
      </c>
      <c r="T15" s="98">
        <v>0.45979999999999999</v>
      </c>
      <c r="U15" s="101">
        <v>0.08</v>
      </c>
      <c r="V15" s="98">
        <f t="shared" si="7"/>
        <v>6.3420689655172419E-2</v>
      </c>
      <c r="W15" s="104">
        <v>-1.66E-2</v>
      </c>
      <c r="X15" s="53" t="str">
        <f t="shared" si="8"/>
        <v>احذر</v>
      </c>
    </row>
    <row r="16" spans="1:24" ht="18">
      <c r="A16" s="22" t="s">
        <v>8</v>
      </c>
      <c r="B16" s="25" t="s">
        <v>43</v>
      </c>
      <c r="C16" s="25"/>
      <c r="D16" s="27">
        <v>2.8000000000000001E-2</v>
      </c>
      <c r="E16" s="25">
        <v>150</v>
      </c>
      <c r="F16" s="59">
        <v>62.46</v>
      </c>
      <c r="G16" s="66">
        <f t="shared" si="0"/>
        <v>9369</v>
      </c>
      <c r="H16" s="62">
        <v>65.5</v>
      </c>
      <c r="I16" s="76">
        <v>9825</v>
      </c>
      <c r="J16" s="72">
        <f t="shared" si="1"/>
        <v>131.93351958962194</v>
      </c>
      <c r="K16" s="71">
        <f t="shared" si="9"/>
        <v>9956.9335195896219</v>
      </c>
      <c r="L16" s="90">
        <f t="shared" si="2"/>
        <v>8.4482877106181423E-2</v>
      </c>
      <c r="M16" s="88">
        <v>0.05</v>
      </c>
      <c r="N16" s="110">
        <f t="shared" si="3"/>
        <v>3.448287710618142E-2</v>
      </c>
      <c r="O16" s="53" t="str">
        <f t="shared" si="4"/>
        <v>أعد التوازن</v>
      </c>
      <c r="P16" s="69" t="str">
        <f t="shared" si="5"/>
        <v>انتظر</v>
      </c>
      <c r="Q16" s="105">
        <v>6</v>
      </c>
      <c r="R16" s="53" t="str">
        <f t="shared" si="6"/>
        <v>قصير</v>
      </c>
      <c r="S16" s="80">
        <v>588</v>
      </c>
      <c r="T16" s="98">
        <v>6.2799999999999995E-2</v>
      </c>
      <c r="U16" s="101">
        <v>0.08</v>
      </c>
      <c r="V16" s="98">
        <f t="shared" si="7"/>
        <v>0.12559999999999999</v>
      </c>
      <c r="W16" s="104">
        <v>4.5499999999999999E-2</v>
      </c>
      <c r="X16" s="53" t="str">
        <f t="shared" si="8"/>
        <v>موافق</v>
      </c>
    </row>
    <row r="17" spans="1:24" ht="18">
      <c r="A17" s="22" t="s">
        <v>8</v>
      </c>
      <c r="B17" s="25" t="s">
        <v>44</v>
      </c>
      <c r="C17" s="25"/>
      <c r="D17" s="27">
        <v>2.5000000000000001E-2</v>
      </c>
      <c r="E17" s="25">
        <v>75</v>
      </c>
      <c r="F17" s="59">
        <v>28.02</v>
      </c>
      <c r="G17" s="66">
        <f t="shared" si="0"/>
        <v>2101.5</v>
      </c>
      <c r="H17" s="62">
        <v>27.85</v>
      </c>
      <c r="I17" s="76">
        <v>2089</v>
      </c>
      <c r="J17" s="72">
        <f t="shared" si="1"/>
        <v>230.46132915180306</v>
      </c>
      <c r="K17" s="71">
        <f t="shared" si="9"/>
        <v>2319.4613291518031</v>
      </c>
      <c r="L17" s="90">
        <f t="shared" si="2"/>
        <v>1.9680232476971316E-2</v>
      </c>
      <c r="M17" s="88">
        <v>0.05</v>
      </c>
      <c r="N17" s="110">
        <f t="shared" si="3"/>
        <v>-3.0319767523028687E-2</v>
      </c>
      <c r="O17" s="53" t="str">
        <f t="shared" si="4"/>
        <v>أعد التوازن</v>
      </c>
      <c r="P17" s="69" t="str">
        <f t="shared" si="5"/>
        <v>شراء</v>
      </c>
      <c r="Q17" s="105">
        <v>50</v>
      </c>
      <c r="R17" s="53" t="str">
        <f t="shared" si="6"/>
        <v>طويل</v>
      </c>
      <c r="S17" s="80">
        <v>218</v>
      </c>
      <c r="T17" s="98">
        <v>0.1036</v>
      </c>
      <c r="U17" s="101">
        <v>0.1</v>
      </c>
      <c r="V17" s="98">
        <f t="shared" si="7"/>
        <v>2.4863999999999997E-2</v>
      </c>
      <c r="W17" s="104">
        <v>-7.51E-2</v>
      </c>
      <c r="X17" s="53" t="str">
        <f t="shared" si="8"/>
        <v>احذر</v>
      </c>
    </row>
    <row r="18" spans="1:24" ht="18">
      <c r="A18" s="22" t="s">
        <v>8</v>
      </c>
      <c r="B18" s="23" t="s">
        <v>45</v>
      </c>
      <c r="C18" s="23"/>
      <c r="D18" s="28">
        <v>1.6E-2</v>
      </c>
      <c r="E18" s="23">
        <v>75</v>
      </c>
      <c r="F18" s="60">
        <v>87.68</v>
      </c>
      <c r="G18" s="65">
        <f t="shared" si="0"/>
        <v>6576.0000000000009</v>
      </c>
      <c r="H18" s="63">
        <v>146.66999999999999</v>
      </c>
      <c r="I18" s="77">
        <v>11000</v>
      </c>
      <c r="J18" s="73">
        <f t="shared" si="1"/>
        <v>937.27293530368115</v>
      </c>
      <c r="K18" s="93">
        <f t="shared" si="9"/>
        <v>11937.272935303681</v>
      </c>
      <c r="L18" s="87">
        <f t="shared" si="2"/>
        <v>0.10128571817739443</v>
      </c>
      <c r="M18" s="88">
        <v>0.05</v>
      </c>
      <c r="N18" s="111">
        <f t="shared" si="3"/>
        <v>5.1285718177394427E-2</v>
      </c>
      <c r="O18" s="54" t="str">
        <f t="shared" si="4"/>
        <v>أعد التوازن</v>
      </c>
      <c r="P18" s="112" t="str">
        <f t="shared" si="5"/>
        <v>انتظر</v>
      </c>
      <c r="Q18" s="105">
        <v>100</v>
      </c>
      <c r="R18" s="54" t="str">
        <f t="shared" si="6"/>
        <v>طويل</v>
      </c>
      <c r="S18" s="80">
        <v>5362</v>
      </c>
      <c r="T18" s="98">
        <v>0.81530000000000002</v>
      </c>
      <c r="U18" s="101">
        <v>0.1</v>
      </c>
      <c r="V18" s="103">
        <f t="shared" si="7"/>
        <v>9.7835999999999992E-2</v>
      </c>
      <c r="W18" s="104">
        <v>-2.2000000000000001E-3</v>
      </c>
      <c r="X18" s="54" t="str">
        <f t="shared" si="8"/>
        <v>موافق</v>
      </c>
    </row>
    <row r="19" spans="1:24" ht="26.25" customHeight="1">
      <c r="A19" s="35" t="s">
        <v>9</v>
      </c>
      <c r="B19" s="23"/>
      <c r="C19" s="2"/>
      <c r="D19" s="29"/>
      <c r="E19" s="2">
        <f>SUM(E4:E18)</f>
        <v>5100</v>
      </c>
      <c r="F19" s="8"/>
      <c r="G19" s="65">
        <f>SUM(G4:G18)</f>
        <v>96627.5</v>
      </c>
      <c r="H19" s="8"/>
      <c r="I19" s="10"/>
      <c r="J19" s="54"/>
      <c r="K19" s="73">
        <f>SUM(K4:K18)</f>
        <v>117857.41514313432</v>
      </c>
      <c r="L19" s="87"/>
      <c r="M19" s="84"/>
      <c r="N19" s="54"/>
      <c r="O19" s="54"/>
      <c r="P19" s="54"/>
      <c r="Q19" s="55">
        <f>AVERAGE(Q4:Q18)</f>
        <v>42.6</v>
      </c>
      <c r="R19" s="54"/>
      <c r="S19" s="81">
        <f>SUM(S4:S18)</f>
        <v>21229</v>
      </c>
      <c r="T19" s="99">
        <v>0.21970000000000001</v>
      </c>
      <c r="U19" s="99"/>
      <c r="V19" s="103">
        <f t="shared" si="7"/>
        <v>6.1887323943661969E-2</v>
      </c>
      <c r="W19" s="99"/>
      <c r="X19" s="54"/>
    </row>
  </sheetData>
  <mergeCells count="6">
    <mergeCell ref="L2:R2"/>
    <mergeCell ref="S2:X2"/>
    <mergeCell ref="A1:X1"/>
    <mergeCell ref="A2:D2"/>
    <mergeCell ref="E2:G2"/>
    <mergeCell ref="H2:K2"/>
  </mergeCells>
  <conditionalFormatting sqref="S4:T1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5BFD2-200D-4E28-AA46-C980B8F9E24A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3DE88-34B2-4D0D-A344-8D08DA6D1F0F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13C2A-E96E-47A4-AF23-36F347AE4B89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ملخص الملف الإستثماري</vt:lpstr>
      <vt:lpstr>تفاصيل المحفظة الاستثمارية</vt:lpstr>
      <vt:lpstr>قائمة الاستثمارات</vt:lpstr>
      <vt:lpstr>المقارنة المعيارية</vt:lpstr>
      <vt:lpstr>الزيادة السنوية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Abo_Salah</dc:creator>
  <cp:lastModifiedBy>Wael Abo_Salah</cp:lastModifiedBy>
  <dcterms:created xsi:type="dcterms:W3CDTF">2023-11-19T15:51:05Z</dcterms:created>
  <dcterms:modified xsi:type="dcterms:W3CDTF">2023-11-20T22:04:15Z</dcterms:modified>
</cp:coreProperties>
</file>